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okj\Desktop\District Adopted Budget\"/>
    </mc:Choice>
  </mc:AlternateContent>
  <bookViews>
    <workbookView xWindow="26916" yWindow="0" windowWidth="28800" windowHeight="11832" tabRatio="774" firstSheet="3" activeTab="3"/>
  </bookViews>
  <sheets>
    <sheet name="Bal Sheet" sheetId="62" state="hidden" r:id="rId1"/>
    <sheet name="ES" sheetId="57" state="hidden" r:id="rId2"/>
    <sheet name="MS" sheetId="59" state="hidden" r:id="rId3"/>
    <sheet name="JICA" sheetId="58" r:id="rId4"/>
    <sheet name="HS" sheetId="56" state="hidden" r:id="rId5"/>
    <sheet name="PTEC" sheetId="60" state="hidden" r:id="rId6"/>
    <sheet name="budget entry" sheetId="54" state="hidden" r:id="rId7"/>
    <sheet name="Bond Fund" sheetId="69" state="hidden" r:id="rId8"/>
    <sheet name="ES Board" sheetId="63" state="hidden" r:id="rId9"/>
    <sheet name="JICA Board" sheetId="64" state="hidden" r:id="rId10"/>
    <sheet name="MS Board" sheetId="65" state="hidden" r:id="rId11"/>
    <sheet name="HS Board" sheetId="66" state="hidden" r:id="rId12"/>
    <sheet name="PTEC Board" sheetId="67" state="hidden" r:id="rId13"/>
    <sheet name="PTEC (2)" sheetId="68" state="hidden" r:id="rId14"/>
    <sheet name="JICA detail" sheetId="35" state="hidden" r:id="rId15"/>
    <sheet name="ES detail" sheetId="22" state="hidden" r:id="rId16"/>
    <sheet name="MS detail" sheetId="21" state="hidden" r:id="rId17"/>
    <sheet name="HS detail" sheetId="20" state="hidden" r:id="rId18"/>
    <sheet name="PTEC detail" sheetId="44" state="hidden" r:id="rId19"/>
    <sheet name="CMO summary" sheetId="48" state="hidden" r:id="rId20"/>
    <sheet name="JICA summary" sheetId="49" state="hidden" r:id="rId21"/>
    <sheet name="ES summary" sheetId="50" state="hidden" r:id="rId22"/>
    <sheet name="MS summary" sheetId="51" state="hidden" r:id="rId23"/>
    <sheet name="HS summary" sheetId="52" state="hidden" r:id="rId24"/>
    <sheet name="PTEC summary" sheetId="53" state="hidden" r:id="rId25"/>
    <sheet name="17-18 wo cmo" sheetId="42" state="hidden" r:id="rId26"/>
    <sheet name="17-18 w cmo" sheetId="55" state="hidden" r:id="rId27"/>
    <sheet name="ytd reconciliation" sheetId="38" state="hidden" r:id="rId28"/>
    <sheet name="Compatibility Report" sheetId="39" state="hidden" r:id="rId29"/>
  </sheets>
  <externalReferences>
    <externalReference r:id="rId30"/>
    <externalReference r:id="rId31"/>
    <externalReference r:id="rId32"/>
    <externalReference r:id="rId33"/>
    <externalReference r:id="rId34"/>
  </externalReferences>
  <definedNames>
    <definedName name="_xlnm.Print_Area" localSheetId="26">'17-18 w cmo'!$A$3:$I$104</definedName>
    <definedName name="_xlnm.Print_Area" localSheetId="25">'17-18 wo cmo'!$A$3:$H$98</definedName>
    <definedName name="_xlnm.Print_Area" localSheetId="0">'Bal Sheet'!$A$1:$I$37</definedName>
    <definedName name="_xlnm.Print_Area" localSheetId="7">'Bond Fund'!$B$5:$Z$24</definedName>
    <definedName name="_xlnm.Print_Area" localSheetId="6">'budget entry'!$A$5:$G$186</definedName>
    <definedName name="_xlnm.Print_Area" localSheetId="19">'CMO summary'!$A$2:$D$108</definedName>
    <definedName name="_xlnm.Print_Area" localSheetId="1">ES!$A$7:$R$140</definedName>
    <definedName name="_xlnm.Print_Area" localSheetId="15">'ES detail'!$A$6:$G$126</definedName>
    <definedName name="_xlnm.Print_Area" localSheetId="21">'ES summary'!$A$6:$D$82</definedName>
    <definedName name="_xlnm.Print_Area" localSheetId="4">HS!$A$6:$R$142</definedName>
    <definedName name="_xlnm.Print_Area" localSheetId="17">'HS detail'!$A$5:$G$182</definedName>
    <definedName name="_xlnm.Print_Area" localSheetId="23">'HS summary'!$A$5:$D$91</definedName>
    <definedName name="_xlnm.Print_Area" localSheetId="3">JICA!$A$5:$R$143</definedName>
    <definedName name="_xlnm.Print_Area" localSheetId="14">'JICA detail'!$A$5:$G$128</definedName>
    <definedName name="_xlnm.Print_Area" localSheetId="20">'JICA summary'!$A$5:$D$82</definedName>
    <definedName name="_xlnm.Print_Area" localSheetId="2">MS!$A$5:$R$142</definedName>
    <definedName name="_xlnm.Print_Area" localSheetId="10">'MS Board'!$A$1:$N$37</definedName>
    <definedName name="_xlnm.Print_Area" localSheetId="16">'MS detail'!$A$6:$G$164</definedName>
    <definedName name="_xlnm.Print_Area" localSheetId="22">'MS summary'!$A$6:$D$95</definedName>
    <definedName name="_xlnm.Print_Area" localSheetId="5">PTEC!$A$5:$R$129</definedName>
    <definedName name="_xlnm.Print_Area" localSheetId="13">'PTEC (2)'!$A$5:$AB$119</definedName>
    <definedName name="_xlnm.Print_Area" localSheetId="18">'PTEC detail'!$A$6:$F$121</definedName>
    <definedName name="_xlnm.Print_Area" localSheetId="24">'PTEC summary'!$A$6:$D$86</definedName>
    <definedName name="_xlnm.Print_Area" localSheetId="27">'ytd reconciliation'!$A$1:$P$61</definedName>
    <definedName name="_xlnm.Print_Titles" localSheetId="26">'17-18 w cmo'!$1:$2</definedName>
    <definedName name="_xlnm.Print_Titles" localSheetId="25">'17-18 wo cmo'!$1:$2</definedName>
    <definedName name="_xlnm.Print_Titles" localSheetId="7">'Bond Fund'!$1:$4</definedName>
    <definedName name="_xlnm.Print_Titles" localSheetId="6">'budget entry'!$1:$4</definedName>
    <definedName name="_xlnm.Print_Titles" localSheetId="19">'CMO summary'!$1:$1</definedName>
    <definedName name="_xlnm.Print_Titles" localSheetId="1">ES!$4:$6</definedName>
    <definedName name="_xlnm.Print_Titles" localSheetId="15">'ES detail'!$2:$5</definedName>
    <definedName name="_xlnm.Print_Titles" localSheetId="21">'ES summary'!$2:$5</definedName>
    <definedName name="_xlnm.Print_Titles" localSheetId="4">HS!$3:$5</definedName>
    <definedName name="_xlnm.Print_Titles" localSheetId="17">'HS detail'!$1:$4</definedName>
    <definedName name="_xlnm.Print_Titles" localSheetId="23">'HS summary'!$1:$4</definedName>
    <definedName name="_xlnm.Print_Titles" localSheetId="3">JICA!$2:$4</definedName>
    <definedName name="_xlnm.Print_Titles" localSheetId="14">'JICA detail'!$1:$4</definedName>
    <definedName name="_xlnm.Print_Titles" localSheetId="20">'JICA summary'!$1:$4</definedName>
    <definedName name="_xlnm.Print_Titles" localSheetId="2">MS!$2:$4</definedName>
    <definedName name="_xlnm.Print_Titles" localSheetId="16">'MS detail'!$2:$5</definedName>
    <definedName name="_xlnm.Print_Titles" localSheetId="22">'MS summary'!$2:$5</definedName>
    <definedName name="_xlnm.Print_Titles" localSheetId="5">PTEC!$1:$4</definedName>
    <definedName name="_xlnm.Print_Titles" localSheetId="13">'PTEC (2)'!$1:$4</definedName>
    <definedName name="_xlnm.Print_Titles" localSheetId="18">'PTEC detail'!$1:$5</definedName>
    <definedName name="_xlnm.Print_Titles" localSheetId="24">'PTEC summary'!$1:$5</definedName>
    <definedName name="_xlnm.Print_Titles" localSheetId="27">'ytd reconciliation'!$1:$2</definedName>
  </definedNames>
  <calcPr calcId="152511" fullCalcOnLoad="1"/>
</workbook>
</file>

<file path=xl/calcChain.xml><?xml version="1.0" encoding="utf-8"?>
<calcChain xmlns="http://schemas.openxmlformats.org/spreadsheetml/2006/main">
  <c r="Z19" i="69" l="1"/>
  <c r="Z17" i="69"/>
  <c r="I28" i="62"/>
  <c r="Z13" i="69"/>
  <c r="Z12" i="69"/>
  <c r="Z14" i="69"/>
  <c r="E6" i="62"/>
  <c r="B6" i="62"/>
  <c r="N127" i="60"/>
  <c r="Q126" i="60"/>
  <c r="Q127" i="60"/>
  <c r="P3" i="60"/>
  <c r="P2" i="60"/>
  <c r="P4" i="56"/>
  <c r="P3" i="56"/>
  <c r="P3" i="58"/>
  <c r="P2" i="58"/>
  <c r="P3" i="59"/>
  <c r="P2" i="59"/>
  <c r="P5" i="57"/>
  <c r="P4" i="57"/>
  <c r="E51" i="54"/>
  <c r="P23" i="60"/>
  <c r="P29" i="56"/>
  <c r="P31" i="58"/>
  <c r="P29" i="59"/>
  <c r="P29" i="57"/>
  <c r="C12" i="54"/>
  <c r="D51" i="54"/>
  <c r="D75" i="54"/>
  <c r="E46" i="54"/>
  <c r="E75" i="54"/>
  <c r="B36" i="54"/>
  <c r="P35" i="56"/>
  <c r="O35" i="56"/>
  <c r="C36" i="54"/>
  <c r="F125" i="54"/>
  <c r="E125" i="54"/>
  <c r="D125" i="54"/>
  <c r="C125" i="54"/>
  <c r="B125" i="54"/>
  <c r="F124" i="54"/>
  <c r="E124" i="54"/>
  <c r="D124" i="54"/>
  <c r="C124" i="54"/>
  <c r="B124" i="54"/>
  <c r="F24" i="54"/>
  <c r="C163" i="54"/>
  <c r="F37" i="54"/>
  <c r="B37" i="54"/>
  <c r="C37" i="54"/>
  <c r="D37" i="54"/>
  <c r="E37" i="54"/>
  <c r="F99" i="54"/>
  <c r="I100" i="54"/>
  <c r="I107" i="54"/>
  <c r="C100" i="54"/>
  <c r="G123" i="54"/>
  <c r="F86" i="54"/>
  <c r="E86" i="54"/>
  <c r="D86" i="54"/>
  <c r="C86" i="54"/>
  <c r="B86" i="54"/>
  <c r="B100" i="54"/>
  <c r="E99" i="54"/>
  <c r="D99" i="54"/>
  <c r="C99" i="54"/>
  <c r="F82" i="54"/>
  <c r="E82" i="54"/>
  <c r="D82" i="54"/>
  <c r="C82" i="54"/>
  <c r="B82" i="54"/>
  <c r="C84" i="54"/>
  <c r="C85" i="54"/>
  <c r="D84" i="54"/>
  <c r="D85" i="54"/>
  <c r="E85" i="54"/>
  <c r="E84" i="54"/>
  <c r="B85" i="54"/>
  <c r="B84" i="54"/>
  <c r="F85" i="54"/>
  <c r="F84" i="54"/>
  <c r="C7" i="62"/>
  <c r="N134" i="56"/>
  <c r="N137" i="56"/>
  <c r="M135" i="56"/>
  <c r="L135" i="56"/>
  <c r="K135" i="56"/>
  <c r="J135" i="56"/>
  <c r="J139" i="56"/>
  <c r="J140" i="56"/>
  <c r="I135" i="56"/>
  <c r="H135" i="56"/>
  <c r="G135" i="56"/>
  <c r="F135" i="56"/>
  <c r="F139" i="56"/>
  <c r="F140" i="56"/>
  <c r="E135" i="56"/>
  <c r="D135" i="56"/>
  <c r="C78" i="56"/>
  <c r="C70" i="56"/>
  <c r="C54" i="56"/>
  <c r="C45" i="56"/>
  <c r="O5" i="56"/>
  <c r="C28" i="56"/>
  <c r="C35" i="56"/>
  <c r="C32" i="56"/>
  <c r="C27" i="56"/>
  <c r="M133" i="58"/>
  <c r="L133" i="58"/>
  <c r="K133" i="58"/>
  <c r="J133" i="58"/>
  <c r="I133" i="58"/>
  <c r="H133" i="58"/>
  <c r="G133" i="58"/>
  <c r="G138" i="58"/>
  <c r="G140" i="58"/>
  <c r="F133" i="58"/>
  <c r="F138" i="58"/>
  <c r="F140" i="58"/>
  <c r="E133" i="58"/>
  <c r="D133" i="58"/>
  <c r="K138" i="58"/>
  <c r="K140" i="58"/>
  <c r="J138" i="58"/>
  <c r="J140" i="58"/>
  <c r="N133" i="58"/>
  <c r="N137" i="58"/>
  <c r="N136" i="58"/>
  <c r="N135" i="58"/>
  <c r="N138" i="58"/>
  <c r="M138" i="58"/>
  <c r="M140" i="58"/>
  <c r="L138" i="58"/>
  <c r="I138" i="58"/>
  <c r="I140" i="58"/>
  <c r="H138" i="58"/>
  <c r="H140" i="58"/>
  <c r="E138" i="58"/>
  <c r="D138" i="58"/>
  <c r="C133" i="58"/>
  <c r="C78" i="58"/>
  <c r="C70" i="58"/>
  <c r="C71" i="58"/>
  <c r="C56" i="58"/>
  <c r="O4" i="58"/>
  <c r="C45" i="62"/>
  <c r="C35" i="59"/>
  <c r="N131" i="59"/>
  <c r="M134" i="59"/>
  <c r="L134" i="59"/>
  <c r="K134" i="59"/>
  <c r="J134" i="59"/>
  <c r="J139" i="59"/>
  <c r="J140" i="59"/>
  <c r="I134" i="59"/>
  <c r="H134" i="59"/>
  <c r="G134" i="59"/>
  <c r="F134" i="59"/>
  <c r="F139" i="59"/>
  <c r="F140" i="59"/>
  <c r="E134" i="59"/>
  <c r="D134" i="59"/>
  <c r="B134" i="59"/>
  <c r="B139" i="59"/>
  <c r="B140" i="59"/>
  <c r="C116" i="59"/>
  <c r="C101" i="59"/>
  <c r="C78" i="59"/>
  <c r="C70" i="59"/>
  <c r="C54" i="59"/>
  <c r="O4" i="59"/>
  <c r="C32" i="59"/>
  <c r="C27" i="59"/>
  <c r="M128" i="57"/>
  <c r="L128" i="57"/>
  <c r="K128" i="57"/>
  <c r="K131" i="57"/>
  <c r="K133" i="57"/>
  <c r="J128" i="57"/>
  <c r="J131" i="57"/>
  <c r="J133" i="57"/>
  <c r="I128" i="57"/>
  <c r="H128" i="57"/>
  <c r="G128" i="57"/>
  <c r="G131" i="57"/>
  <c r="G133" i="57"/>
  <c r="F128" i="57"/>
  <c r="F131" i="57"/>
  <c r="F133" i="57"/>
  <c r="E128" i="57"/>
  <c r="D128" i="57"/>
  <c r="C128" i="57"/>
  <c r="B128" i="57"/>
  <c r="B131" i="57"/>
  <c r="B133" i="57"/>
  <c r="N128" i="57"/>
  <c r="C73" i="57"/>
  <c r="C65" i="57"/>
  <c r="C51" i="57"/>
  <c r="O6" i="57"/>
  <c r="C45" i="57"/>
  <c r="C32" i="57"/>
  <c r="C27" i="57"/>
  <c r="C30" i="57"/>
  <c r="N30" i="57"/>
  <c r="E10" i="62"/>
  <c r="E13" i="62"/>
  <c r="E7" i="62"/>
  <c r="D10" i="62"/>
  <c r="D12" i="62"/>
  <c r="D7" i="62"/>
  <c r="D6" i="62"/>
  <c r="I16" i="62"/>
  <c r="D13" i="62"/>
  <c r="E23" i="62"/>
  <c r="G23" i="62"/>
  <c r="C16" i="62"/>
  <c r="O4" i="60"/>
  <c r="C65" i="60"/>
  <c r="C69" i="60"/>
  <c r="C44" i="60"/>
  <c r="C26" i="60"/>
  <c r="N26" i="60"/>
  <c r="C21" i="60"/>
  <c r="C25" i="60"/>
  <c r="F15" i="62"/>
  <c r="C12" i="60"/>
  <c r="C11" i="60"/>
  <c r="C12" i="58"/>
  <c r="C19" i="56"/>
  <c r="C15" i="56"/>
  <c r="C12" i="59"/>
  <c r="C20" i="57"/>
  <c r="G8" i="54"/>
  <c r="F19" i="62"/>
  <c r="F24" i="62"/>
  <c r="F28" i="62"/>
  <c r="E28" i="62"/>
  <c r="D28" i="62"/>
  <c r="C28" i="62"/>
  <c r="B28" i="62"/>
  <c r="G185" i="54"/>
  <c r="H1" i="38"/>
  <c r="R1" i="38"/>
  <c r="B5" i="38"/>
  <c r="E5" i="38"/>
  <c r="H5" i="38"/>
  <c r="K5" i="38"/>
  <c r="N5" i="38"/>
  <c r="O5" i="38"/>
  <c r="O6" i="38"/>
  <c r="B7" i="38"/>
  <c r="E7" i="38"/>
  <c r="H7" i="38"/>
  <c r="K7" i="38"/>
  <c r="N7" i="38"/>
  <c r="O7" i="38"/>
  <c r="B8" i="38"/>
  <c r="E8" i="38"/>
  <c r="H8" i="38"/>
  <c r="K8" i="38"/>
  <c r="N8" i="38"/>
  <c r="O8" i="38"/>
  <c r="B9" i="38"/>
  <c r="E9" i="38"/>
  <c r="H9" i="38"/>
  <c r="K9" i="38"/>
  <c r="N9" i="38"/>
  <c r="O9" i="38"/>
  <c r="B10" i="38"/>
  <c r="E10" i="38"/>
  <c r="H10" i="38"/>
  <c r="K10" i="38"/>
  <c r="N10" i="38"/>
  <c r="O10" i="38"/>
  <c r="B11" i="38"/>
  <c r="E11" i="38"/>
  <c r="H11" i="38"/>
  <c r="K11" i="38"/>
  <c r="O11" i="38"/>
  <c r="K12" i="38"/>
  <c r="N12" i="38"/>
  <c r="O12" i="38"/>
  <c r="B13" i="38"/>
  <c r="E13" i="38"/>
  <c r="H13" i="38"/>
  <c r="K13" i="38"/>
  <c r="O13" i="38"/>
  <c r="O14" i="38"/>
  <c r="B15" i="38"/>
  <c r="E15" i="38"/>
  <c r="H15" i="38"/>
  <c r="K15" i="38"/>
  <c r="O15" i="38"/>
  <c r="B16" i="38"/>
  <c r="D16" i="38"/>
  <c r="E16" i="38"/>
  <c r="G16" i="38"/>
  <c r="H16" i="38"/>
  <c r="J16" i="38"/>
  <c r="K16" i="38"/>
  <c r="M16" i="38"/>
  <c r="N16" i="38"/>
  <c r="O16" i="38"/>
  <c r="Q16" i="38"/>
  <c r="B18" i="38"/>
  <c r="D18" i="38"/>
  <c r="G18" i="38"/>
  <c r="J18" i="38"/>
  <c r="M18" i="38"/>
  <c r="O18" i="38"/>
  <c r="B20" i="38"/>
  <c r="E20" i="38"/>
  <c r="H20" i="38"/>
  <c r="K20" i="38"/>
  <c r="N20" i="38"/>
  <c r="O20" i="38"/>
  <c r="Q20" i="38"/>
  <c r="S22" i="38"/>
  <c r="T22" i="38"/>
  <c r="U22" i="38"/>
  <c r="B24" i="38"/>
  <c r="E24" i="38"/>
  <c r="H24" i="38"/>
  <c r="K24" i="38"/>
  <c r="N24" i="38"/>
  <c r="O24" i="38"/>
  <c r="B25" i="38"/>
  <c r="E25" i="38"/>
  <c r="H25" i="38"/>
  <c r="K25" i="38"/>
  <c r="N25" i="38"/>
  <c r="O25" i="38"/>
  <c r="R25" i="38"/>
  <c r="B26" i="38"/>
  <c r="E26" i="38"/>
  <c r="H26" i="38"/>
  <c r="K26" i="38"/>
  <c r="N26" i="38"/>
  <c r="O26" i="38"/>
  <c r="B27" i="38"/>
  <c r="E27" i="38"/>
  <c r="H27" i="38"/>
  <c r="K27" i="38"/>
  <c r="N27" i="38"/>
  <c r="O27" i="38"/>
  <c r="B28" i="38"/>
  <c r="E28" i="38"/>
  <c r="H28" i="38"/>
  <c r="K28" i="38"/>
  <c r="N28" i="38"/>
  <c r="O28" i="38"/>
  <c r="B29" i="38"/>
  <c r="E29" i="38"/>
  <c r="H29" i="38"/>
  <c r="K29" i="38"/>
  <c r="N29" i="38"/>
  <c r="O29" i="38"/>
  <c r="B30" i="38"/>
  <c r="E30" i="38"/>
  <c r="H30" i="38"/>
  <c r="K30" i="38"/>
  <c r="N30" i="38"/>
  <c r="O30" i="38"/>
  <c r="B31" i="38"/>
  <c r="E31" i="38"/>
  <c r="H31" i="38"/>
  <c r="K31" i="38"/>
  <c r="N31" i="38"/>
  <c r="O31" i="38"/>
  <c r="B32" i="38"/>
  <c r="E32" i="38"/>
  <c r="H32" i="38"/>
  <c r="K32" i="38"/>
  <c r="N32" i="38"/>
  <c r="O32" i="38"/>
  <c r="B33" i="38"/>
  <c r="D33" i="38"/>
  <c r="E33" i="38"/>
  <c r="G33" i="38"/>
  <c r="H33" i="38"/>
  <c r="J33" i="38"/>
  <c r="K33" i="38"/>
  <c r="M33" i="38"/>
  <c r="N33" i="38"/>
  <c r="O33" i="38"/>
  <c r="Q33" i="38"/>
  <c r="B36" i="38"/>
  <c r="E36" i="38"/>
  <c r="H36" i="38"/>
  <c r="K36" i="38"/>
  <c r="N36" i="38"/>
  <c r="O36" i="38"/>
  <c r="N37" i="38"/>
  <c r="O37" i="38"/>
  <c r="B38" i="38"/>
  <c r="E38" i="38"/>
  <c r="H38" i="38"/>
  <c r="K38" i="38"/>
  <c r="N38" i="38"/>
  <c r="O38" i="38"/>
  <c r="B39" i="38"/>
  <c r="E39" i="38"/>
  <c r="H39" i="38"/>
  <c r="K39" i="38"/>
  <c r="N39" i="38"/>
  <c r="O39" i="38"/>
  <c r="B40" i="38"/>
  <c r="E40" i="38"/>
  <c r="H40" i="38"/>
  <c r="K40" i="38"/>
  <c r="N40" i="38"/>
  <c r="O40" i="38"/>
  <c r="B41" i="38"/>
  <c r="D41" i="38"/>
  <c r="E41" i="38"/>
  <c r="G41" i="38"/>
  <c r="H41" i="38"/>
  <c r="J41" i="38"/>
  <c r="K41" i="38"/>
  <c r="M41" i="38"/>
  <c r="N41" i="38"/>
  <c r="O41" i="38"/>
  <c r="Q41" i="38"/>
  <c r="B44" i="38"/>
  <c r="E44" i="38"/>
  <c r="H44" i="38"/>
  <c r="K44" i="38"/>
  <c r="N44" i="38"/>
  <c r="O44" i="38"/>
  <c r="N45" i="38"/>
  <c r="O45" i="38"/>
  <c r="B46" i="38"/>
  <c r="E46" i="38"/>
  <c r="H46" i="38"/>
  <c r="K46" i="38"/>
  <c r="N46" i="38"/>
  <c r="O46" i="38"/>
  <c r="B47" i="38"/>
  <c r="E47" i="38"/>
  <c r="H47" i="38"/>
  <c r="K47" i="38"/>
  <c r="N47" i="38"/>
  <c r="O47" i="38"/>
  <c r="B48" i="38"/>
  <c r="E48" i="38"/>
  <c r="H48" i="38"/>
  <c r="K48" i="38"/>
  <c r="N48" i="38"/>
  <c r="O48" i="38"/>
  <c r="B49" i="38"/>
  <c r="E49" i="38"/>
  <c r="H49" i="38"/>
  <c r="K49" i="38"/>
  <c r="O49" i="38"/>
  <c r="B50" i="38"/>
  <c r="E50" i="38"/>
  <c r="H50" i="38"/>
  <c r="K50" i="38"/>
  <c r="N50" i="38"/>
  <c r="O50" i="38"/>
  <c r="B51" i="38"/>
  <c r="E51" i="38"/>
  <c r="H51" i="38"/>
  <c r="K51" i="38"/>
  <c r="N51" i="38"/>
  <c r="O51" i="38"/>
  <c r="B52" i="38"/>
  <c r="E52" i="38"/>
  <c r="H52" i="38"/>
  <c r="K52" i="38"/>
  <c r="N52" i="38"/>
  <c r="O52" i="38"/>
  <c r="B53" i="38"/>
  <c r="E53" i="38"/>
  <c r="H53" i="38"/>
  <c r="K53" i="38"/>
  <c r="N53" i="38"/>
  <c r="O53" i="38"/>
  <c r="B54" i="38"/>
  <c r="D54" i="38"/>
  <c r="E54" i="38"/>
  <c r="G54" i="38"/>
  <c r="H54" i="38"/>
  <c r="J54" i="38"/>
  <c r="K54" i="38"/>
  <c r="M54" i="38"/>
  <c r="N54" i="38"/>
  <c r="O54" i="38"/>
  <c r="Q54" i="38"/>
  <c r="B56" i="38"/>
  <c r="D56" i="38"/>
  <c r="E56" i="38"/>
  <c r="F56" i="38"/>
  <c r="G56" i="38"/>
  <c r="H56" i="38"/>
  <c r="I56" i="38"/>
  <c r="J56" i="38"/>
  <c r="K56" i="38"/>
  <c r="L56" i="38"/>
  <c r="M56" i="38"/>
  <c r="N56" i="38"/>
  <c r="O56" i="38"/>
  <c r="B57" i="38"/>
  <c r="E57" i="38"/>
  <c r="H57" i="38"/>
  <c r="K57" i="38"/>
  <c r="N57" i="38"/>
  <c r="O57" i="38"/>
  <c r="B58" i="38"/>
  <c r="E58" i="38"/>
  <c r="H58" i="38"/>
  <c r="K58" i="38"/>
  <c r="N58" i="38"/>
  <c r="O58" i="38"/>
  <c r="O60" i="38"/>
  <c r="O61" i="38"/>
  <c r="Q61" i="38"/>
  <c r="D1" i="55"/>
  <c r="H1" i="55"/>
  <c r="H5" i="55"/>
  <c r="J5" i="55"/>
  <c r="H6" i="55"/>
  <c r="J6" i="55"/>
  <c r="D7" i="55"/>
  <c r="H7" i="55"/>
  <c r="J7" i="55"/>
  <c r="H8" i="55"/>
  <c r="J8" i="55"/>
  <c r="B9" i="55"/>
  <c r="C9" i="55"/>
  <c r="D9" i="55"/>
  <c r="E9" i="55"/>
  <c r="F9" i="55"/>
  <c r="G9" i="55"/>
  <c r="H9" i="55"/>
  <c r="J9" i="55"/>
  <c r="F11" i="55"/>
  <c r="H11" i="55"/>
  <c r="J11" i="55"/>
  <c r="F12" i="55"/>
  <c r="H12" i="55"/>
  <c r="J12" i="55"/>
  <c r="H13" i="55"/>
  <c r="J13" i="55"/>
  <c r="B14" i="55"/>
  <c r="C14" i="55"/>
  <c r="D14" i="55"/>
  <c r="E14" i="55"/>
  <c r="F14" i="55"/>
  <c r="G14" i="55"/>
  <c r="H14" i="55"/>
  <c r="J14" i="55"/>
  <c r="B15" i="55"/>
  <c r="C15" i="55"/>
  <c r="D15" i="55"/>
  <c r="E15" i="55"/>
  <c r="F15" i="55"/>
  <c r="G15" i="55"/>
  <c r="H15" i="55"/>
  <c r="J15" i="55"/>
  <c r="L15" i="55"/>
  <c r="E18" i="55"/>
  <c r="H18" i="55"/>
  <c r="J18" i="55"/>
  <c r="H19" i="55"/>
  <c r="J19" i="55"/>
  <c r="H20" i="55"/>
  <c r="J20" i="55"/>
  <c r="F21" i="55"/>
  <c r="H21" i="55"/>
  <c r="J21" i="55"/>
  <c r="H22" i="55"/>
  <c r="J22" i="55"/>
  <c r="B23" i="55"/>
  <c r="C23" i="55"/>
  <c r="D23" i="55"/>
  <c r="E23" i="55"/>
  <c r="F23" i="55"/>
  <c r="G23" i="55"/>
  <c r="H23" i="55"/>
  <c r="J23" i="55"/>
  <c r="H26" i="55"/>
  <c r="J26" i="55"/>
  <c r="F27" i="55"/>
  <c r="H27" i="55"/>
  <c r="J27" i="55"/>
  <c r="H28" i="55"/>
  <c r="J28" i="55"/>
  <c r="H29" i="55"/>
  <c r="J29" i="55"/>
  <c r="B30" i="55"/>
  <c r="C30" i="55"/>
  <c r="D30" i="55"/>
  <c r="E30" i="55"/>
  <c r="F30" i="55"/>
  <c r="G30" i="55"/>
  <c r="H30" i="55"/>
  <c r="J30" i="55"/>
  <c r="B33" i="55"/>
  <c r="C33" i="55"/>
  <c r="D33" i="55"/>
  <c r="E33" i="55"/>
  <c r="F33" i="55"/>
  <c r="G33" i="55"/>
  <c r="H33" i="55"/>
  <c r="B34" i="55"/>
  <c r="C34" i="55"/>
  <c r="D34" i="55"/>
  <c r="E34" i="55"/>
  <c r="F34" i="55"/>
  <c r="G34" i="55"/>
  <c r="H34" i="55"/>
  <c r="B35" i="55"/>
  <c r="C35" i="55"/>
  <c r="D35" i="55"/>
  <c r="E35" i="55"/>
  <c r="F35" i="55"/>
  <c r="G35" i="55"/>
  <c r="H35" i="55"/>
  <c r="B36" i="55"/>
  <c r="C36" i="55"/>
  <c r="D36" i="55"/>
  <c r="E36" i="55"/>
  <c r="F36" i="55"/>
  <c r="G36" i="55"/>
  <c r="H36" i="55"/>
  <c r="B37" i="55"/>
  <c r="C37" i="55"/>
  <c r="D37" i="55"/>
  <c r="E37" i="55"/>
  <c r="F37" i="55"/>
  <c r="G37" i="55"/>
  <c r="H37" i="55"/>
  <c r="B38" i="55"/>
  <c r="C38" i="55"/>
  <c r="D38" i="55"/>
  <c r="E38" i="55"/>
  <c r="F38" i="55"/>
  <c r="G38" i="55"/>
  <c r="H38" i="55"/>
  <c r="B39" i="55"/>
  <c r="C39" i="55"/>
  <c r="D39" i="55"/>
  <c r="E39" i="55"/>
  <c r="F39" i="55"/>
  <c r="G39" i="55"/>
  <c r="H39" i="55"/>
  <c r="B40" i="55"/>
  <c r="C40" i="55"/>
  <c r="D40" i="55"/>
  <c r="E40" i="55"/>
  <c r="F40" i="55"/>
  <c r="G40" i="55"/>
  <c r="H40" i="55"/>
  <c r="B41" i="55"/>
  <c r="C41" i="55"/>
  <c r="D41" i="55"/>
  <c r="E41" i="55"/>
  <c r="F41" i="55"/>
  <c r="G41" i="55"/>
  <c r="H41" i="55"/>
  <c r="J41" i="55"/>
  <c r="H44" i="55"/>
  <c r="J44" i="55"/>
  <c r="H45" i="55"/>
  <c r="J45" i="55"/>
  <c r="G46" i="55"/>
  <c r="H46" i="55"/>
  <c r="J46" i="55"/>
  <c r="G47" i="55"/>
  <c r="H47" i="55"/>
  <c r="J47" i="55"/>
  <c r="H48" i="55"/>
  <c r="J48" i="55"/>
  <c r="B49" i="55"/>
  <c r="C49" i="55"/>
  <c r="D49" i="55"/>
  <c r="E49" i="55"/>
  <c r="F49" i="55"/>
  <c r="G49" i="55"/>
  <c r="H49" i="55"/>
  <c r="J49" i="55"/>
  <c r="B52" i="55"/>
  <c r="C52" i="55"/>
  <c r="D52" i="55"/>
  <c r="E52" i="55"/>
  <c r="F52" i="55"/>
  <c r="G52" i="55"/>
  <c r="H52" i="55"/>
  <c r="B53" i="55"/>
  <c r="C53" i="55"/>
  <c r="D53" i="55"/>
  <c r="E53" i="55"/>
  <c r="F53" i="55"/>
  <c r="G53" i="55"/>
  <c r="H53" i="55"/>
  <c r="B54" i="55"/>
  <c r="C54" i="55"/>
  <c r="D54" i="55"/>
  <c r="E54" i="55"/>
  <c r="F54" i="55"/>
  <c r="G54" i="55"/>
  <c r="H54" i="55"/>
  <c r="B55" i="55"/>
  <c r="C55" i="55"/>
  <c r="D55" i="55"/>
  <c r="E55" i="55"/>
  <c r="F55" i="55"/>
  <c r="G55" i="55"/>
  <c r="H55" i="55"/>
  <c r="B56" i="55"/>
  <c r="C56" i="55"/>
  <c r="D56" i="55"/>
  <c r="E56" i="55"/>
  <c r="F56" i="55"/>
  <c r="G56" i="55"/>
  <c r="H56" i="55"/>
  <c r="B57" i="55"/>
  <c r="C57" i="55"/>
  <c r="D57" i="55"/>
  <c r="E57" i="55"/>
  <c r="F57" i="55"/>
  <c r="G57" i="55"/>
  <c r="H57" i="55"/>
  <c r="B58" i="55"/>
  <c r="C58" i="55"/>
  <c r="D58" i="55"/>
  <c r="E58" i="55"/>
  <c r="F58" i="55"/>
  <c r="G58" i="55"/>
  <c r="H58" i="55"/>
  <c r="B59" i="55"/>
  <c r="C59" i="55"/>
  <c r="D59" i="55"/>
  <c r="E59" i="55"/>
  <c r="F59" i="55"/>
  <c r="G59" i="55"/>
  <c r="H59" i="55"/>
  <c r="B60" i="55"/>
  <c r="C60" i="55"/>
  <c r="D60" i="55"/>
  <c r="E60" i="55"/>
  <c r="F60" i="55"/>
  <c r="G60" i="55"/>
  <c r="H60" i="55"/>
  <c r="B61" i="55"/>
  <c r="C61" i="55"/>
  <c r="D61" i="55"/>
  <c r="E61" i="55"/>
  <c r="F61" i="55"/>
  <c r="G61" i="55"/>
  <c r="H61" i="55"/>
  <c r="J61" i="55"/>
  <c r="B64" i="55"/>
  <c r="C64" i="55"/>
  <c r="D64" i="55"/>
  <c r="E64" i="55"/>
  <c r="F64" i="55"/>
  <c r="G64" i="55"/>
  <c r="H64" i="55"/>
  <c r="B65" i="55"/>
  <c r="C65" i="55"/>
  <c r="D65" i="55"/>
  <c r="E65" i="55"/>
  <c r="F65" i="55"/>
  <c r="G65" i="55"/>
  <c r="H65" i="55"/>
  <c r="J65" i="55"/>
  <c r="B66" i="55"/>
  <c r="C66" i="55"/>
  <c r="D66" i="55"/>
  <c r="E66" i="55"/>
  <c r="F66" i="55"/>
  <c r="G66" i="55"/>
  <c r="H66" i="55"/>
  <c r="J66" i="55"/>
  <c r="B67" i="55"/>
  <c r="C67" i="55"/>
  <c r="D67" i="55"/>
  <c r="E67" i="55"/>
  <c r="F67" i="55"/>
  <c r="G67" i="55"/>
  <c r="H67" i="55"/>
  <c r="B68" i="55"/>
  <c r="C68" i="55"/>
  <c r="D68" i="55"/>
  <c r="E68" i="55"/>
  <c r="F68" i="55"/>
  <c r="G68" i="55"/>
  <c r="H68" i="55"/>
  <c r="J68" i="55"/>
  <c r="G72" i="55"/>
  <c r="H72" i="55"/>
  <c r="J72" i="55"/>
  <c r="G73" i="55"/>
  <c r="H73" i="55"/>
  <c r="J73" i="55"/>
  <c r="E74" i="55"/>
  <c r="G74" i="55"/>
  <c r="H74" i="55"/>
  <c r="J74" i="55"/>
  <c r="H77" i="55"/>
  <c r="D78" i="55"/>
  <c r="H78" i="55"/>
  <c r="H79" i="55"/>
  <c r="D80" i="55"/>
  <c r="H80" i="55"/>
  <c r="B81" i="55"/>
  <c r="C81" i="55"/>
  <c r="D81" i="55"/>
  <c r="E81" i="55"/>
  <c r="F81" i="55"/>
  <c r="G81" i="55"/>
  <c r="H81" i="55"/>
  <c r="B82" i="55"/>
  <c r="C82" i="55"/>
  <c r="D82" i="55"/>
  <c r="E82" i="55"/>
  <c r="F82" i="55"/>
  <c r="G82" i="55"/>
  <c r="H82" i="55"/>
  <c r="B83" i="55"/>
  <c r="C83" i="55"/>
  <c r="D83" i="55"/>
  <c r="E83" i="55"/>
  <c r="F83" i="55"/>
  <c r="G83" i="55"/>
  <c r="H83" i="55"/>
  <c r="B84" i="55"/>
  <c r="C84" i="55"/>
  <c r="D84" i="55"/>
  <c r="E84" i="55"/>
  <c r="F84" i="55"/>
  <c r="G84" i="55"/>
  <c r="H84" i="55"/>
  <c r="B85" i="55"/>
  <c r="C85" i="55"/>
  <c r="D85" i="55"/>
  <c r="E85" i="55"/>
  <c r="F85" i="55"/>
  <c r="G85" i="55"/>
  <c r="H85" i="55"/>
  <c r="B86" i="55"/>
  <c r="C86" i="55"/>
  <c r="D86" i="55"/>
  <c r="E86" i="55"/>
  <c r="F86" i="55"/>
  <c r="G86" i="55"/>
  <c r="H86" i="55"/>
  <c r="J86" i="55"/>
  <c r="B89" i="55"/>
  <c r="C89" i="55"/>
  <c r="D89" i="55"/>
  <c r="E89" i="55"/>
  <c r="F89" i="55"/>
  <c r="G89" i="55"/>
  <c r="H89" i="55"/>
  <c r="J89" i="55"/>
  <c r="B90" i="55"/>
  <c r="C90" i="55"/>
  <c r="D90" i="55"/>
  <c r="E90" i="55"/>
  <c r="F90" i="55"/>
  <c r="G90" i="55"/>
  <c r="H90" i="55"/>
  <c r="J90" i="55"/>
  <c r="B91" i="55"/>
  <c r="C91" i="55"/>
  <c r="D91" i="55"/>
  <c r="E91" i="55"/>
  <c r="F91" i="55"/>
  <c r="G91" i="55"/>
  <c r="H91" i="55"/>
  <c r="J91" i="55"/>
  <c r="B95" i="55"/>
  <c r="C95" i="55"/>
  <c r="D95" i="55"/>
  <c r="E95" i="55"/>
  <c r="F95" i="55"/>
  <c r="G95" i="55"/>
  <c r="H95" i="55"/>
  <c r="B96" i="55"/>
  <c r="C96" i="55"/>
  <c r="D96" i="55"/>
  <c r="E96" i="55"/>
  <c r="F96" i="55"/>
  <c r="G96" i="55"/>
  <c r="H96" i="55"/>
  <c r="I96" i="55"/>
  <c r="I98" i="55"/>
  <c r="B99" i="55"/>
  <c r="C99" i="55"/>
  <c r="D99" i="55"/>
  <c r="E99" i="55"/>
  <c r="F99" i="55"/>
  <c r="B100" i="55"/>
  <c r="C100" i="55"/>
  <c r="D100" i="55"/>
  <c r="E100" i="55"/>
  <c r="F100" i="55"/>
  <c r="B102" i="55"/>
  <c r="C102" i="55"/>
  <c r="D102" i="55"/>
  <c r="E102" i="55"/>
  <c r="F102" i="55"/>
  <c r="I102" i="55"/>
  <c r="B103" i="55"/>
  <c r="C103" i="55"/>
  <c r="D103" i="55"/>
  <c r="E103" i="55"/>
  <c r="F103" i="55"/>
  <c r="I103" i="55"/>
  <c r="I104" i="55"/>
  <c r="B1" i="42"/>
  <c r="C1" i="42"/>
  <c r="D1" i="42"/>
  <c r="E1" i="42"/>
  <c r="F1" i="42"/>
  <c r="H5" i="42"/>
  <c r="H6" i="42"/>
  <c r="H7" i="42"/>
  <c r="H8" i="42"/>
  <c r="B9" i="42"/>
  <c r="C9" i="42"/>
  <c r="D9" i="42"/>
  <c r="E9" i="42"/>
  <c r="F9" i="42"/>
  <c r="H9" i="42"/>
  <c r="H11" i="42"/>
  <c r="F12" i="42"/>
  <c r="H12" i="42"/>
  <c r="H13" i="42"/>
  <c r="B14" i="42"/>
  <c r="C14" i="42"/>
  <c r="D14" i="42"/>
  <c r="E14" i="42"/>
  <c r="F14" i="42"/>
  <c r="H14" i="42"/>
  <c r="B15" i="42"/>
  <c r="C15" i="42"/>
  <c r="D15" i="42"/>
  <c r="E15" i="42"/>
  <c r="F15" i="42"/>
  <c r="H15" i="42"/>
  <c r="J15" i="42"/>
  <c r="H18" i="42"/>
  <c r="H19" i="42"/>
  <c r="H20" i="42"/>
  <c r="F21" i="42"/>
  <c r="H21" i="42"/>
  <c r="H22" i="42"/>
  <c r="B23" i="42"/>
  <c r="C23" i="42"/>
  <c r="D23" i="42"/>
  <c r="E23" i="42"/>
  <c r="F23" i="42"/>
  <c r="H23" i="42"/>
  <c r="D26" i="42"/>
  <c r="H26" i="42"/>
  <c r="H27" i="42"/>
  <c r="F28" i="42"/>
  <c r="H28" i="42"/>
  <c r="H29" i="42"/>
  <c r="H30" i="42"/>
  <c r="B31" i="42"/>
  <c r="C31" i="42"/>
  <c r="D31" i="42"/>
  <c r="E31" i="42"/>
  <c r="F31" i="42"/>
  <c r="H31" i="42"/>
  <c r="B45" i="42"/>
  <c r="C45" i="42"/>
  <c r="D45" i="42"/>
  <c r="E45" i="42"/>
  <c r="F45" i="42"/>
  <c r="H45" i="42"/>
  <c r="D48" i="42"/>
  <c r="H48" i="42"/>
  <c r="H49" i="42"/>
  <c r="H50" i="42"/>
  <c r="H51" i="42"/>
  <c r="H52" i="42"/>
  <c r="B53" i="42"/>
  <c r="C53" i="42"/>
  <c r="D53" i="42"/>
  <c r="E53" i="42"/>
  <c r="F53" i="42"/>
  <c r="H53" i="42"/>
  <c r="B68" i="42"/>
  <c r="C68" i="42"/>
  <c r="D68" i="42"/>
  <c r="E68" i="42"/>
  <c r="F68" i="42"/>
  <c r="H68" i="42"/>
  <c r="H72" i="42"/>
  <c r="H73" i="42"/>
  <c r="B75" i="42"/>
  <c r="C75" i="42"/>
  <c r="D75" i="42"/>
  <c r="E75" i="42"/>
  <c r="F75" i="42"/>
  <c r="H75" i="42"/>
  <c r="H79" i="42"/>
  <c r="H80" i="42"/>
  <c r="E83" i="42"/>
  <c r="H83" i="42"/>
  <c r="D87" i="42"/>
  <c r="D89" i="42"/>
  <c r="B97" i="42"/>
  <c r="C97" i="42"/>
  <c r="D97" i="42"/>
  <c r="E97" i="42"/>
  <c r="F97" i="42"/>
  <c r="H97" i="42"/>
  <c r="B1" i="53"/>
  <c r="B2" i="53"/>
  <c r="B3" i="53"/>
  <c r="B8" i="53"/>
  <c r="D8" i="53"/>
  <c r="B9" i="53"/>
  <c r="D9" i="53"/>
  <c r="B10" i="53"/>
  <c r="D10" i="53"/>
  <c r="E10" i="53"/>
  <c r="B11" i="53"/>
  <c r="D11" i="53"/>
  <c r="B12" i="53"/>
  <c r="D12" i="53"/>
  <c r="E12" i="53"/>
  <c r="B13" i="53"/>
  <c r="B14" i="53"/>
  <c r="D14" i="53"/>
  <c r="B15" i="53"/>
  <c r="C15" i="53"/>
  <c r="D15" i="53"/>
  <c r="E15" i="53"/>
  <c r="B20" i="53"/>
  <c r="C20" i="53"/>
  <c r="D20" i="53"/>
  <c r="E20" i="53"/>
  <c r="B21" i="53"/>
  <c r="C21" i="53"/>
  <c r="D21" i="53"/>
  <c r="B22" i="53"/>
  <c r="C22" i="53"/>
  <c r="D22" i="53"/>
  <c r="B23" i="53"/>
  <c r="C23" i="53"/>
  <c r="D23" i="53"/>
  <c r="B24" i="53"/>
  <c r="C24" i="53"/>
  <c r="D24" i="53"/>
  <c r="E24" i="53"/>
  <c r="B25" i="53"/>
  <c r="C25" i="53"/>
  <c r="D25" i="53"/>
  <c r="E25" i="53"/>
  <c r="B28" i="53"/>
  <c r="C28" i="53"/>
  <c r="D28" i="53"/>
  <c r="E28" i="53"/>
  <c r="B29" i="53"/>
  <c r="C29" i="53"/>
  <c r="D29" i="53"/>
  <c r="B30" i="53"/>
  <c r="C30" i="53"/>
  <c r="D30" i="53"/>
  <c r="B31" i="53"/>
  <c r="C31" i="53"/>
  <c r="D31" i="53"/>
  <c r="E31" i="53"/>
  <c r="B34" i="53"/>
  <c r="C34" i="53"/>
  <c r="D34" i="53"/>
  <c r="E34" i="53"/>
  <c r="B35" i="53"/>
  <c r="C35" i="53"/>
  <c r="D35" i="53"/>
  <c r="E35" i="53"/>
  <c r="B36" i="53"/>
  <c r="C36" i="53"/>
  <c r="D36" i="53"/>
  <c r="B37" i="53"/>
  <c r="C37" i="53"/>
  <c r="D37" i="53"/>
  <c r="B38" i="53"/>
  <c r="C38" i="53"/>
  <c r="D38" i="53"/>
  <c r="E38" i="53"/>
  <c r="B41" i="53"/>
  <c r="C41" i="53"/>
  <c r="D41" i="53"/>
  <c r="B42" i="53"/>
  <c r="C42" i="53"/>
  <c r="D42" i="53"/>
  <c r="B43" i="53"/>
  <c r="C43" i="53"/>
  <c r="D43" i="53"/>
  <c r="B44" i="53"/>
  <c r="C44" i="53"/>
  <c r="D44" i="53"/>
  <c r="B45" i="53"/>
  <c r="C45" i="53"/>
  <c r="D45" i="53"/>
  <c r="B46" i="53"/>
  <c r="C46" i="53"/>
  <c r="D46" i="53"/>
  <c r="E46" i="53"/>
  <c r="B49" i="53"/>
  <c r="C49" i="53"/>
  <c r="D49" i="53"/>
  <c r="E49" i="53"/>
  <c r="B50" i="53"/>
  <c r="C50" i="53"/>
  <c r="D50" i="53"/>
  <c r="B51" i="53"/>
  <c r="C51" i="53"/>
  <c r="D51" i="53"/>
  <c r="B52" i="53"/>
  <c r="C52" i="53"/>
  <c r="D52" i="53"/>
  <c r="B53" i="53"/>
  <c r="C53" i="53"/>
  <c r="D53" i="53"/>
  <c r="B54" i="53"/>
  <c r="C54" i="53"/>
  <c r="D54" i="53"/>
  <c r="E54" i="53"/>
  <c r="B57" i="53"/>
  <c r="C57" i="53"/>
  <c r="D57" i="53"/>
  <c r="B58" i="53"/>
  <c r="C58" i="53"/>
  <c r="D58" i="53"/>
  <c r="B59" i="53"/>
  <c r="C59" i="53"/>
  <c r="D59" i="53"/>
  <c r="E59" i="53"/>
  <c r="B62" i="53"/>
  <c r="C62" i="53"/>
  <c r="D62" i="53"/>
  <c r="B63" i="53"/>
  <c r="C63" i="53"/>
  <c r="D63" i="53"/>
  <c r="B64" i="53"/>
  <c r="C64" i="53"/>
  <c r="D64" i="53"/>
  <c r="B65" i="53"/>
  <c r="C65" i="53"/>
  <c r="D65" i="53"/>
  <c r="E65" i="53"/>
  <c r="D68" i="53"/>
  <c r="B69" i="53"/>
  <c r="C69" i="53"/>
  <c r="D69" i="53"/>
  <c r="B70" i="53"/>
  <c r="B71" i="53"/>
  <c r="B72" i="53"/>
  <c r="B73" i="53"/>
  <c r="C73" i="53"/>
  <c r="D73" i="53"/>
  <c r="E73" i="53"/>
  <c r="B75" i="53"/>
  <c r="C75" i="53"/>
  <c r="D75" i="53"/>
  <c r="B79" i="53"/>
  <c r="C79" i="53"/>
  <c r="D79" i="53"/>
  <c r="E79" i="53"/>
  <c r="B81" i="53"/>
  <c r="C81" i="53"/>
  <c r="D81" i="53"/>
  <c r="E81" i="53"/>
  <c r="B85" i="53"/>
  <c r="C85" i="53"/>
  <c r="D85" i="53"/>
  <c r="E85" i="53"/>
  <c r="B86" i="53"/>
  <c r="C86" i="53"/>
  <c r="D86" i="53"/>
  <c r="E86" i="53"/>
  <c r="B1" i="52"/>
  <c r="B2" i="52"/>
  <c r="C2" i="52"/>
  <c r="D2" i="52"/>
  <c r="B3" i="52"/>
  <c r="B7" i="52"/>
  <c r="C7" i="52"/>
  <c r="D7" i="52"/>
  <c r="B8" i="52"/>
  <c r="C8" i="52"/>
  <c r="D8" i="52"/>
  <c r="F8" i="52"/>
  <c r="B9" i="52"/>
  <c r="C9" i="52"/>
  <c r="D9" i="52"/>
  <c r="B10" i="52"/>
  <c r="C10" i="52"/>
  <c r="D10" i="52"/>
  <c r="B11" i="52"/>
  <c r="C11" i="52"/>
  <c r="D11" i="52"/>
  <c r="E11" i="52"/>
  <c r="B12" i="52"/>
  <c r="C12" i="52"/>
  <c r="D12" i="52"/>
  <c r="B13" i="52"/>
  <c r="C13" i="52"/>
  <c r="D13" i="52"/>
  <c r="B14" i="52"/>
  <c r="C14" i="52"/>
  <c r="D14" i="52"/>
  <c r="B15" i="52"/>
  <c r="C15" i="52"/>
  <c r="D15" i="52"/>
  <c r="E15" i="52"/>
  <c r="B16" i="52"/>
  <c r="C16" i="52"/>
  <c r="D16" i="52"/>
  <c r="E16" i="52"/>
  <c r="F16" i="52"/>
  <c r="B21" i="52"/>
  <c r="C21" i="52"/>
  <c r="D21" i="52"/>
  <c r="E21" i="52"/>
  <c r="F21" i="52"/>
  <c r="B22" i="52"/>
  <c r="C22" i="52"/>
  <c r="D22" i="52"/>
  <c r="B23" i="52"/>
  <c r="C23" i="52"/>
  <c r="D23" i="52"/>
  <c r="E23" i="52"/>
  <c r="B24" i="52"/>
  <c r="C24" i="52"/>
  <c r="D24" i="52"/>
  <c r="B25" i="52"/>
  <c r="C25" i="52"/>
  <c r="D25" i="52"/>
  <c r="B26" i="52"/>
  <c r="C26" i="52"/>
  <c r="D26" i="52"/>
  <c r="E26" i="52"/>
  <c r="F26" i="52"/>
  <c r="B29" i="52"/>
  <c r="C29" i="52"/>
  <c r="D29" i="52"/>
  <c r="E29" i="52"/>
  <c r="F29" i="52"/>
  <c r="B30" i="52"/>
  <c r="C30" i="52"/>
  <c r="D30" i="52"/>
  <c r="B31" i="52"/>
  <c r="C31" i="52"/>
  <c r="D31" i="52"/>
  <c r="B32" i="52"/>
  <c r="C32" i="52"/>
  <c r="D32" i="52"/>
  <c r="E32" i="52"/>
  <c r="F32" i="52"/>
  <c r="G32" i="52"/>
  <c r="B35" i="52"/>
  <c r="C35" i="52"/>
  <c r="D35" i="52"/>
  <c r="E35" i="52"/>
  <c r="F35" i="52"/>
  <c r="B36" i="52"/>
  <c r="C36" i="52"/>
  <c r="D36" i="52"/>
  <c r="B37" i="52"/>
  <c r="C37" i="52"/>
  <c r="D37" i="52"/>
  <c r="B38" i="52"/>
  <c r="C38" i="52"/>
  <c r="D38" i="52"/>
  <c r="B39" i="52"/>
  <c r="C39" i="52"/>
  <c r="D39" i="52"/>
  <c r="E39" i="52"/>
  <c r="F39" i="52"/>
  <c r="G39" i="52"/>
  <c r="B42" i="52"/>
  <c r="C42" i="52"/>
  <c r="D42" i="52"/>
  <c r="B43" i="52"/>
  <c r="C43" i="52"/>
  <c r="D43" i="52"/>
  <c r="B44" i="52"/>
  <c r="C44" i="52"/>
  <c r="D44" i="52"/>
  <c r="B45" i="52"/>
  <c r="C45" i="52"/>
  <c r="D45" i="52"/>
  <c r="B46" i="52"/>
  <c r="C46" i="52"/>
  <c r="D46" i="52"/>
  <c r="E46" i="52"/>
  <c r="F46" i="52"/>
  <c r="G46" i="52"/>
  <c r="B49" i="52"/>
  <c r="C49" i="52"/>
  <c r="D49" i="52"/>
  <c r="E49" i="52"/>
  <c r="F49" i="52"/>
  <c r="B50" i="52"/>
  <c r="C50" i="52"/>
  <c r="D50" i="52"/>
  <c r="B51" i="52"/>
  <c r="C51" i="52"/>
  <c r="D51" i="52"/>
  <c r="B52" i="52"/>
  <c r="C52" i="52"/>
  <c r="D52" i="52"/>
  <c r="B53" i="52"/>
  <c r="C53" i="52"/>
  <c r="D53" i="52"/>
  <c r="E53" i="52"/>
  <c r="F53" i="52"/>
  <c r="G53" i="52"/>
  <c r="B56" i="52"/>
  <c r="C56" i="52"/>
  <c r="D56" i="52"/>
  <c r="B57" i="52"/>
  <c r="C57" i="52"/>
  <c r="D57" i="52"/>
  <c r="B58" i="52"/>
  <c r="C58" i="52"/>
  <c r="D58" i="52"/>
  <c r="E58" i="52"/>
  <c r="F58" i="52"/>
  <c r="G58" i="52"/>
  <c r="B61" i="52"/>
  <c r="C61" i="52"/>
  <c r="D61" i="52"/>
  <c r="B62" i="52"/>
  <c r="C62" i="52"/>
  <c r="D62" i="52"/>
  <c r="B63" i="52"/>
  <c r="C63" i="52"/>
  <c r="D63" i="52"/>
  <c r="B64" i="52"/>
  <c r="C64" i="52"/>
  <c r="D64" i="52"/>
  <c r="E64" i="52"/>
  <c r="F64" i="52"/>
  <c r="G64" i="52"/>
  <c r="B67" i="52"/>
  <c r="C67" i="52"/>
  <c r="D67" i="52"/>
  <c r="B68" i="52"/>
  <c r="C68" i="52"/>
  <c r="D68" i="52"/>
  <c r="B69" i="52"/>
  <c r="C69" i="52"/>
  <c r="D69" i="52"/>
  <c r="B70" i="52"/>
  <c r="C70" i="52"/>
  <c r="D70" i="52"/>
  <c r="B71" i="52"/>
  <c r="C71" i="52"/>
  <c r="D71" i="52"/>
  <c r="E71" i="52"/>
  <c r="F71" i="52"/>
  <c r="G71" i="52"/>
  <c r="E73" i="52"/>
  <c r="B77" i="52"/>
  <c r="C77" i="52"/>
  <c r="D77" i="52"/>
  <c r="F77" i="52"/>
  <c r="B81" i="52"/>
  <c r="C81" i="52"/>
  <c r="D81" i="52"/>
  <c r="E81" i="52"/>
  <c r="F81" i="52"/>
  <c r="G81" i="52"/>
  <c r="B83" i="52"/>
  <c r="C83" i="52"/>
  <c r="D83" i="52"/>
  <c r="E83" i="52"/>
  <c r="F83" i="52"/>
  <c r="C85" i="52"/>
  <c r="D85" i="52"/>
  <c r="B88" i="52"/>
  <c r="C88" i="52"/>
  <c r="D88" i="52"/>
  <c r="E88" i="52"/>
  <c r="F90" i="52"/>
  <c r="B91" i="52"/>
  <c r="C91" i="52"/>
  <c r="D91" i="52"/>
  <c r="E91" i="52"/>
  <c r="F91" i="52"/>
  <c r="B2" i="51"/>
  <c r="B3" i="51"/>
  <c r="C3" i="51"/>
  <c r="D3" i="51"/>
  <c r="B4"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E15" i="51"/>
  <c r="B16" i="51"/>
  <c r="C16" i="51"/>
  <c r="D16" i="51"/>
  <c r="E16" i="51"/>
  <c r="F16" i="51"/>
  <c r="B21" i="51"/>
  <c r="C21" i="51"/>
  <c r="D21" i="51"/>
  <c r="E21" i="51"/>
  <c r="F21" i="51"/>
  <c r="B22" i="51"/>
  <c r="C22" i="51"/>
  <c r="D22" i="51"/>
  <c r="B23" i="51"/>
  <c r="C23" i="51"/>
  <c r="D23" i="51"/>
  <c r="E23" i="51"/>
  <c r="B24" i="51"/>
  <c r="C24" i="51"/>
  <c r="D24" i="51"/>
  <c r="F24" i="51"/>
  <c r="B25" i="51"/>
  <c r="C25" i="51"/>
  <c r="D25" i="51"/>
  <c r="B26" i="51"/>
  <c r="C26" i="51"/>
  <c r="D26" i="51"/>
  <c r="E26" i="51"/>
  <c r="F26" i="51"/>
  <c r="B29" i="51"/>
  <c r="C29" i="51"/>
  <c r="D29" i="51"/>
  <c r="E29" i="51"/>
  <c r="F29" i="51"/>
  <c r="B30" i="51"/>
  <c r="C30" i="51"/>
  <c r="D30" i="51"/>
  <c r="B31" i="51"/>
  <c r="C31" i="51"/>
  <c r="D31" i="51"/>
  <c r="B32" i="51"/>
  <c r="C32" i="51"/>
  <c r="D32" i="51"/>
  <c r="B33" i="51"/>
  <c r="C33" i="51"/>
  <c r="D33" i="51"/>
  <c r="E33" i="51"/>
  <c r="F33" i="51"/>
  <c r="B36" i="51"/>
  <c r="C36" i="51"/>
  <c r="D36" i="51"/>
  <c r="E36" i="51"/>
  <c r="B37" i="51"/>
  <c r="C37" i="51"/>
  <c r="D37" i="51"/>
  <c r="E37" i="51"/>
  <c r="B38" i="51"/>
  <c r="C38" i="51"/>
  <c r="D38" i="51"/>
  <c r="B39" i="51"/>
  <c r="C39" i="51"/>
  <c r="D39" i="51"/>
  <c r="B40" i="51"/>
  <c r="C40" i="51"/>
  <c r="D40" i="51"/>
  <c r="E40" i="51"/>
  <c r="F40" i="51"/>
  <c r="B43" i="51"/>
  <c r="C43" i="51"/>
  <c r="D43" i="51"/>
  <c r="B44" i="51"/>
  <c r="C44" i="51"/>
  <c r="D44" i="51"/>
  <c r="B45" i="51"/>
  <c r="C45" i="51"/>
  <c r="D45" i="51"/>
  <c r="E45" i="51"/>
  <c r="B46" i="51"/>
  <c r="C46" i="51"/>
  <c r="D46" i="51"/>
  <c r="E46" i="51"/>
  <c r="B47" i="51"/>
  <c r="C47" i="51"/>
  <c r="D47" i="51"/>
  <c r="E47" i="51"/>
  <c r="F47" i="51"/>
  <c r="B50" i="51"/>
  <c r="C50" i="51"/>
  <c r="D50" i="51"/>
  <c r="E50" i="51"/>
  <c r="F50" i="51"/>
  <c r="B51" i="51"/>
  <c r="C51" i="51"/>
  <c r="D51" i="51"/>
  <c r="B52" i="51"/>
  <c r="C52" i="51"/>
  <c r="D52" i="51"/>
  <c r="B53" i="51"/>
  <c r="C53" i="51"/>
  <c r="D53" i="51"/>
  <c r="B54" i="51"/>
  <c r="C54" i="51"/>
  <c r="D54" i="51"/>
  <c r="E54" i="51"/>
  <c r="F54" i="51"/>
  <c r="B57" i="51"/>
  <c r="C57" i="51"/>
  <c r="D57" i="51"/>
  <c r="B58" i="51"/>
  <c r="C58" i="51"/>
  <c r="D58" i="51"/>
  <c r="B59" i="51"/>
  <c r="C59" i="51"/>
  <c r="D59" i="51"/>
  <c r="E59" i="51"/>
  <c r="F59" i="51"/>
  <c r="B62" i="51"/>
  <c r="C62" i="51"/>
  <c r="D62" i="51"/>
  <c r="B63" i="51"/>
  <c r="C63" i="51"/>
  <c r="D63" i="51"/>
  <c r="B64" i="51"/>
  <c r="C64" i="51"/>
  <c r="D64" i="51"/>
  <c r="B65" i="51"/>
  <c r="C65" i="51"/>
  <c r="D65" i="51"/>
  <c r="E65" i="51"/>
  <c r="F65" i="51"/>
  <c r="B68" i="51"/>
  <c r="C68" i="51"/>
  <c r="D68" i="51"/>
  <c r="B69" i="51"/>
  <c r="C69" i="51"/>
  <c r="D69" i="51"/>
  <c r="E69" i="51"/>
  <c r="F69" i="51"/>
  <c r="B72" i="51"/>
  <c r="C72" i="51"/>
  <c r="D72" i="51"/>
  <c r="B73" i="51"/>
  <c r="C73" i="51"/>
  <c r="D73" i="51"/>
  <c r="B74" i="51"/>
  <c r="C74" i="51"/>
  <c r="D74" i="51"/>
  <c r="B75" i="51"/>
  <c r="C75" i="51"/>
  <c r="D75" i="51"/>
  <c r="B76" i="51"/>
  <c r="C76" i="51"/>
  <c r="D76" i="51"/>
  <c r="E76" i="51"/>
  <c r="F76" i="51"/>
  <c r="E78" i="51"/>
  <c r="B86" i="51"/>
  <c r="C86" i="51"/>
  <c r="D86" i="51"/>
  <c r="E86" i="51"/>
  <c r="F86" i="51"/>
  <c r="G86" i="51"/>
  <c r="B88" i="51"/>
  <c r="C88" i="51"/>
  <c r="D88" i="51"/>
  <c r="E88" i="51"/>
  <c r="F88" i="51"/>
  <c r="B90" i="51"/>
  <c r="C90" i="51"/>
  <c r="D90" i="51"/>
  <c r="B91" i="51"/>
  <c r="C91" i="51"/>
  <c r="D91" i="51"/>
  <c r="B92" i="51"/>
  <c r="C92" i="51"/>
  <c r="D92" i="51"/>
  <c r="B93" i="51"/>
  <c r="C93" i="51"/>
  <c r="D93" i="51"/>
  <c r="E93" i="51"/>
  <c r="B95" i="51"/>
  <c r="C95" i="51"/>
  <c r="D95" i="51"/>
  <c r="E95" i="51"/>
  <c r="F95" i="51"/>
  <c r="B2" i="50"/>
  <c r="B3" i="50"/>
  <c r="B4" i="50"/>
  <c r="B8" i="50"/>
  <c r="D8" i="50"/>
  <c r="B9" i="50"/>
  <c r="D9" i="50"/>
  <c r="B10" i="50"/>
  <c r="D10" i="50"/>
  <c r="B11" i="50"/>
  <c r="D11" i="50"/>
  <c r="B12" i="50"/>
  <c r="D12" i="50"/>
  <c r="E12" i="50"/>
  <c r="B13" i="50"/>
  <c r="D13" i="50"/>
  <c r="B14" i="50"/>
  <c r="D14" i="50"/>
  <c r="E14" i="50"/>
  <c r="B15" i="50"/>
  <c r="C15" i="50"/>
  <c r="D15" i="50"/>
  <c r="E15" i="50"/>
  <c r="F15" i="50"/>
  <c r="B20" i="50"/>
  <c r="C20" i="50"/>
  <c r="D20" i="50"/>
  <c r="E20" i="50"/>
  <c r="F20" i="50"/>
  <c r="B21" i="50"/>
  <c r="C21" i="50"/>
  <c r="D21" i="50"/>
  <c r="B22" i="50"/>
  <c r="C22" i="50"/>
  <c r="D22" i="50"/>
  <c r="E22" i="50"/>
  <c r="B23" i="50"/>
  <c r="C23" i="50"/>
  <c r="D23" i="50"/>
  <c r="B24" i="50"/>
  <c r="C24" i="50"/>
  <c r="D24" i="50"/>
  <c r="B25" i="50"/>
  <c r="C25" i="50"/>
  <c r="D25" i="50"/>
  <c r="E25" i="50"/>
  <c r="F25" i="50"/>
  <c r="B28" i="50"/>
  <c r="C28" i="50"/>
  <c r="D28" i="50"/>
  <c r="E28" i="50"/>
  <c r="B29" i="50"/>
  <c r="C29" i="50"/>
  <c r="D29" i="50"/>
  <c r="B30" i="50"/>
  <c r="C30" i="50"/>
  <c r="D30" i="50"/>
  <c r="B31" i="50"/>
  <c r="C31" i="50"/>
  <c r="D31" i="50"/>
  <c r="E31" i="50"/>
  <c r="F31" i="50"/>
  <c r="E34" i="50"/>
  <c r="B35" i="50"/>
  <c r="C35" i="50"/>
  <c r="D35" i="50"/>
  <c r="B36" i="50"/>
  <c r="C36" i="50"/>
  <c r="D36" i="50"/>
  <c r="B37" i="50"/>
  <c r="C37" i="50"/>
  <c r="D37" i="50"/>
  <c r="E37" i="50"/>
  <c r="F37" i="50"/>
  <c r="B40" i="50"/>
  <c r="C40" i="50"/>
  <c r="D40" i="50"/>
  <c r="B41" i="50"/>
  <c r="C41" i="50"/>
  <c r="D41" i="50"/>
  <c r="E41" i="50"/>
  <c r="B43" i="50"/>
  <c r="C43" i="50"/>
  <c r="D43" i="50"/>
  <c r="E43" i="50"/>
  <c r="B44" i="50"/>
  <c r="C44" i="50"/>
  <c r="D44" i="50"/>
  <c r="E44" i="50"/>
  <c r="F44" i="50"/>
  <c r="B47" i="50"/>
  <c r="C47" i="50"/>
  <c r="D47" i="50"/>
  <c r="E47" i="50"/>
  <c r="F47" i="50"/>
  <c r="B48" i="50"/>
  <c r="C48" i="50"/>
  <c r="D48" i="50"/>
  <c r="B49" i="50"/>
  <c r="C49" i="50"/>
  <c r="D49" i="50"/>
  <c r="B50" i="50"/>
  <c r="C50" i="50"/>
  <c r="D50" i="50"/>
  <c r="B51" i="50"/>
  <c r="C51" i="50"/>
  <c r="D51" i="50"/>
  <c r="E51" i="50"/>
  <c r="F51" i="50"/>
  <c r="B54" i="50"/>
  <c r="C54" i="50"/>
  <c r="D54" i="50"/>
  <c r="B55" i="50"/>
  <c r="C55" i="50"/>
  <c r="D55" i="50"/>
  <c r="B56" i="50"/>
  <c r="C56" i="50"/>
  <c r="D56" i="50"/>
  <c r="E56" i="50"/>
  <c r="F56" i="50"/>
  <c r="B59" i="50"/>
  <c r="C59" i="50"/>
  <c r="D59" i="50"/>
  <c r="B60" i="50"/>
  <c r="C60" i="50"/>
  <c r="D60" i="50"/>
  <c r="B61" i="50"/>
  <c r="C61" i="50"/>
  <c r="D61" i="50"/>
  <c r="B62" i="50"/>
  <c r="C62" i="50"/>
  <c r="D62" i="50"/>
  <c r="E62" i="50"/>
  <c r="F62" i="50"/>
  <c r="B65" i="50"/>
  <c r="C65" i="50"/>
  <c r="D65" i="50"/>
  <c r="B66" i="50"/>
  <c r="C66" i="50"/>
  <c r="D66" i="50"/>
  <c r="B67" i="50"/>
  <c r="C67" i="50"/>
  <c r="D67" i="50"/>
  <c r="B68" i="50"/>
  <c r="C68" i="50"/>
  <c r="D68" i="50"/>
  <c r="B69" i="50"/>
  <c r="C69" i="50"/>
  <c r="D69" i="50"/>
  <c r="E69" i="50"/>
  <c r="F69" i="50"/>
  <c r="B71" i="50"/>
  <c r="C71" i="50"/>
  <c r="D71" i="50"/>
  <c r="E71" i="50"/>
  <c r="B73" i="50"/>
  <c r="C73" i="50"/>
  <c r="D73" i="50"/>
  <c r="E73" i="50"/>
  <c r="F73" i="50"/>
  <c r="B75" i="50"/>
  <c r="C75" i="50"/>
  <c r="D75" i="50"/>
  <c r="E75" i="50"/>
  <c r="F75" i="50"/>
  <c r="B77" i="50"/>
  <c r="D77" i="50"/>
  <c r="B78" i="50"/>
  <c r="D78" i="50"/>
  <c r="B79" i="50"/>
  <c r="D79" i="50"/>
  <c r="E79" i="50"/>
  <c r="B81" i="50"/>
  <c r="D81" i="50"/>
  <c r="E81" i="50"/>
  <c r="F81" i="50"/>
  <c r="B2" i="49"/>
  <c r="B3" i="49"/>
  <c r="B7" i="49"/>
  <c r="C7" i="49"/>
  <c r="D7" i="49"/>
  <c r="B8" i="49"/>
  <c r="C8" i="49"/>
  <c r="D8" i="49"/>
  <c r="B9" i="49"/>
  <c r="C9" i="49"/>
  <c r="D9" i="49"/>
  <c r="B10" i="49"/>
  <c r="C10" i="49"/>
  <c r="D10" i="49"/>
  <c r="B11" i="49"/>
  <c r="C11" i="49"/>
  <c r="D11" i="49"/>
  <c r="B12" i="49"/>
  <c r="C12" i="49"/>
  <c r="D12" i="49"/>
  <c r="B13" i="49"/>
  <c r="C13" i="49"/>
  <c r="D13" i="49"/>
  <c r="E13" i="49"/>
  <c r="F13" i="49"/>
  <c r="B18" i="49"/>
  <c r="C18" i="49"/>
  <c r="D18" i="49"/>
  <c r="B19" i="49"/>
  <c r="C19" i="49"/>
  <c r="D19" i="49"/>
  <c r="B20" i="49"/>
  <c r="C20" i="49"/>
  <c r="D20" i="49"/>
  <c r="B21" i="49"/>
  <c r="C21" i="49"/>
  <c r="D21" i="49"/>
  <c r="E21" i="49"/>
  <c r="B22" i="49"/>
  <c r="C22" i="49"/>
  <c r="D22" i="49"/>
  <c r="B23" i="49"/>
  <c r="C23" i="49"/>
  <c r="D23" i="49"/>
  <c r="E23" i="49"/>
  <c r="F23" i="49"/>
  <c r="B26" i="49"/>
  <c r="C26" i="49"/>
  <c r="D26" i="49"/>
  <c r="E26" i="49"/>
  <c r="F26" i="49"/>
  <c r="B27" i="49"/>
  <c r="C27" i="49"/>
  <c r="D27" i="49"/>
  <c r="B28" i="49"/>
  <c r="C28" i="49"/>
  <c r="D28" i="49"/>
  <c r="B29" i="49"/>
  <c r="C29" i="49"/>
  <c r="D29" i="49"/>
  <c r="B30" i="49"/>
  <c r="C30" i="49"/>
  <c r="D30" i="49"/>
  <c r="B31" i="49"/>
  <c r="C31" i="49"/>
  <c r="D31" i="49"/>
  <c r="E31" i="49"/>
  <c r="F31" i="49"/>
  <c r="B34" i="49"/>
  <c r="C34" i="49"/>
  <c r="D34" i="49"/>
  <c r="E34" i="49"/>
  <c r="B35" i="49"/>
  <c r="C35" i="49"/>
  <c r="D35" i="49"/>
  <c r="B36" i="49"/>
  <c r="C36" i="49"/>
  <c r="D36" i="49"/>
  <c r="B37" i="49"/>
  <c r="C37" i="49"/>
  <c r="D37" i="49"/>
  <c r="E37" i="49"/>
  <c r="F37" i="49"/>
  <c r="B40" i="49"/>
  <c r="C40" i="49"/>
  <c r="D40" i="49"/>
  <c r="B41" i="49"/>
  <c r="C41" i="49"/>
  <c r="D41" i="49"/>
  <c r="B42" i="49"/>
  <c r="C42" i="49"/>
  <c r="D42" i="49"/>
  <c r="B43" i="49"/>
  <c r="C43" i="49"/>
  <c r="D43" i="49"/>
  <c r="B44" i="49"/>
  <c r="C44" i="49"/>
  <c r="D44" i="49"/>
  <c r="E44" i="49"/>
  <c r="F44" i="49"/>
  <c r="B47" i="49"/>
  <c r="C47" i="49"/>
  <c r="D47" i="49"/>
  <c r="E47" i="49"/>
  <c r="B48" i="49"/>
  <c r="C48" i="49"/>
  <c r="D48" i="49"/>
  <c r="B49" i="49"/>
  <c r="C49" i="49"/>
  <c r="D49" i="49"/>
  <c r="B50" i="49"/>
  <c r="C50" i="49"/>
  <c r="D50" i="49"/>
  <c r="E50" i="49"/>
  <c r="F50" i="49"/>
  <c r="B53" i="49"/>
  <c r="C53" i="49"/>
  <c r="D53" i="49"/>
  <c r="B54" i="49"/>
  <c r="C54" i="49"/>
  <c r="D54" i="49"/>
  <c r="B55" i="49"/>
  <c r="C55" i="49"/>
  <c r="D55" i="49"/>
  <c r="E55" i="49"/>
  <c r="F55" i="49"/>
  <c r="B58" i="49"/>
  <c r="C58" i="49"/>
  <c r="D58" i="49"/>
  <c r="B59" i="49"/>
  <c r="C59" i="49"/>
  <c r="D59" i="49"/>
  <c r="B60" i="49"/>
  <c r="C60" i="49"/>
  <c r="D60" i="49"/>
  <c r="B61" i="49"/>
  <c r="C61" i="49"/>
  <c r="D61" i="49"/>
  <c r="E61" i="49"/>
  <c r="F61" i="49"/>
  <c r="B64" i="49"/>
  <c r="C64" i="49"/>
  <c r="D64" i="49"/>
  <c r="B65" i="49"/>
  <c r="C65" i="49"/>
  <c r="D65" i="49"/>
  <c r="E65" i="49"/>
  <c r="F65" i="49"/>
  <c r="B68" i="49"/>
  <c r="C68" i="49"/>
  <c r="D68" i="49"/>
  <c r="B69" i="49"/>
  <c r="C69" i="49"/>
  <c r="D69" i="49"/>
  <c r="B70" i="49"/>
  <c r="C70" i="49"/>
  <c r="D70" i="49"/>
  <c r="B71" i="49"/>
  <c r="C71" i="49"/>
  <c r="D71" i="49"/>
  <c r="B72" i="49"/>
  <c r="C72" i="49"/>
  <c r="D72" i="49"/>
  <c r="E72" i="49"/>
  <c r="F72" i="49"/>
  <c r="B74" i="49"/>
  <c r="C74" i="49"/>
  <c r="D74" i="49"/>
  <c r="B76" i="49"/>
  <c r="C76" i="49"/>
  <c r="D76" i="49"/>
  <c r="E76" i="49"/>
  <c r="B78" i="49"/>
  <c r="C78" i="49"/>
  <c r="D78" i="49"/>
  <c r="E78" i="49"/>
  <c r="F78" i="49"/>
  <c r="B80" i="49"/>
  <c r="C80" i="49"/>
  <c r="D80" i="49"/>
  <c r="E80" i="49"/>
  <c r="F80" i="49"/>
  <c r="B81" i="49"/>
  <c r="C81" i="49"/>
  <c r="D81" i="49"/>
  <c r="E81" i="49"/>
  <c r="F81" i="49"/>
  <c r="B82" i="49"/>
  <c r="C82" i="49"/>
  <c r="D82" i="49"/>
  <c r="E82" i="49"/>
  <c r="F82" i="49"/>
  <c r="B4" i="48"/>
  <c r="C4" i="48"/>
  <c r="D4" i="48"/>
  <c r="C5" i="48"/>
  <c r="D5" i="48"/>
  <c r="B6" i="48"/>
  <c r="C6" i="48"/>
  <c r="D6" i="48"/>
  <c r="C7" i="48"/>
  <c r="D7" i="48"/>
  <c r="B8" i="48"/>
  <c r="C8" i="48"/>
  <c r="D8" i="48"/>
  <c r="B9" i="48"/>
  <c r="C9" i="48"/>
  <c r="B10" i="48"/>
  <c r="D10" i="48"/>
  <c r="B11" i="48"/>
  <c r="C11" i="48"/>
  <c r="D11" i="48"/>
  <c r="E11" i="48"/>
  <c r="F11" i="48"/>
  <c r="B16" i="48"/>
  <c r="C16" i="48"/>
  <c r="D16" i="48"/>
  <c r="B18" i="48"/>
  <c r="C18" i="48"/>
  <c r="D18" i="48"/>
  <c r="B20" i="48"/>
  <c r="C20" i="48"/>
  <c r="D20" i="48"/>
  <c r="B22" i="48"/>
  <c r="C22" i="48"/>
  <c r="D22" i="48"/>
  <c r="B24" i="48"/>
  <c r="C24" i="48"/>
  <c r="D24" i="48"/>
  <c r="B26" i="48"/>
  <c r="B28" i="48"/>
  <c r="B30" i="48"/>
  <c r="C30" i="48"/>
  <c r="D30" i="48"/>
  <c r="E30" i="48"/>
  <c r="F30" i="48"/>
  <c r="B33" i="48"/>
  <c r="C33" i="48"/>
  <c r="D33" i="48"/>
  <c r="B34" i="48"/>
  <c r="C34" i="48"/>
  <c r="D34" i="48"/>
  <c r="B35" i="48"/>
  <c r="C35" i="48"/>
  <c r="D35" i="48"/>
  <c r="E35" i="48"/>
  <c r="F35" i="48"/>
  <c r="B38" i="48"/>
  <c r="C38" i="48"/>
  <c r="D38" i="48"/>
  <c r="B39" i="48"/>
  <c r="C39" i="48"/>
  <c r="D39" i="48"/>
  <c r="E39" i="48"/>
  <c r="F39" i="48"/>
  <c r="B42" i="48"/>
  <c r="C42" i="48"/>
  <c r="D42" i="48"/>
  <c r="B43" i="48"/>
  <c r="C43" i="48"/>
  <c r="D43" i="48"/>
  <c r="B44" i="48"/>
  <c r="C44" i="48"/>
  <c r="D44" i="48"/>
  <c r="B45" i="48"/>
  <c r="C45" i="48"/>
  <c r="D45" i="48"/>
  <c r="B46" i="48"/>
  <c r="C46" i="48"/>
  <c r="D46" i="48"/>
  <c r="E46" i="48"/>
  <c r="F46" i="48"/>
  <c r="B48" i="48"/>
  <c r="C48" i="48"/>
  <c r="D48" i="48"/>
  <c r="B50" i="48"/>
  <c r="C50" i="48"/>
  <c r="D50" i="48"/>
  <c r="B65" i="48"/>
  <c r="C65" i="48"/>
  <c r="D65" i="48"/>
  <c r="E65" i="48"/>
  <c r="F65" i="48"/>
  <c r="B66" i="48"/>
  <c r="C66" i="48"/>
  <c r="D66" i="48"/>
  <c r="E66" i="48"/>
  <c r="F66" i="48"/>
  <c r="B69" i="48"/>
  <c r="C69" i="48"/>
  <c r="D69" i="48"/>
  <c r="B70" i="48"/>
  <c r="C70" i="48"/>
  <c r="D70" i="48"/>
  <c r="G70" i="48"/>
  <c r="B71" i="48"/>
  <c r="C71" i="48"/>
  <c r="D71" i="48"/>
  <c r="E71" i="48"/>
  <c r="F71" i="48"/>
  <c r="B74" i="48"/>
  <c r="C74" i="48"/>
  <c r="D74" i="48"/>
  <c r="B75" i="48"/>
  <c r="C75" i="48"/>
  <c r="D75" i="48"/>
  <c r="B76" i="48"/>
  <c r="C76" i="48"/>
  <c r="D76" i="48"/>
  <c r="B77" i="48"/>
  <c r="C77" i="48"/>
  <c r="D77" i="48"/>
  <c r="B78" i="48"/>
  <c r="C78" i="48"/>
  <c r="D78" i="48"/>
  <c r="B79" i="48"/>
  <c r="C79" i="48"/>
  <c r="D79" i="48"/>
  <c r="B80" i="48"/>
  <c r="C80" i="48"/>
  <c r="D80" i="48"/>
  <c r="E80" i="48"/>
  <c r="F80" i="48"/>
  <c r="B83" i="48"/>
  <c r="C83" i="48"/>
  <c r="D83" i="48"/>
  <c r="B84" i="48"/>
  <c r="C84" i="48"/>
  <c r="D84" i="48"/>
  <c r="E84" i="48"/>
  <c r="F84" i="48"/>
  <c r="B87" i="48"/>
  <c r="C87" i="48"/>
  <c r="D87" i="48"/>
  <c r="B88" i="48"/>
  <c r="C88" i="48"/>
  <c r="D88" i="48"/>
  <c r="B89" i="48"/>
  <c r="C89" i="48"/>
  <c r="D89" i="48"/>
  <c r="B90" i="48"/>
  <c r="C90" i="48"/>
  <c r="D90" i="48"/>
  <c r="E90" i="48"/>
  <c r="F90" i="48"/>
  <c r="B93" i="48"/>
  <c r="C93" i="48"/>
  <c r="D93" i="48"/>
  <c r="B94" i="48"/>
  <c r="C94" i="48"/>
  <c r="D94" i="48"/>
  <c r="B95" i="48"/>
  <c r="C95" i="48"/>
  <c r="D95" i="48"/>
  <c r="B96" i="48"/>
  <c r="C96" i="48"/>
  <c r="D96" i="48"/>
  <c r="B97" i="48"/>
  <c r="C97" i="48"/>
  <c r="D97" i="48"/>
  <c r="B98" i="48"/>
  <c r="C98" i="48"/>
  <c r="D98" i="48"/>
  <c r="B99" i="48"/>
  <c r="C99" i="48"/>
  <c r="D99" i="48"/>
  <c r="B100" i="48"/>
  <c r="C100" i="48"/>
  <c r="D100" i="48"/>
  <c r="E100" i="48"/>
  <c r="F100" i="48"/>
  <c r="B102" i="48"/>
  <c r="C102" i="48"/>
  <c r="D102" i="48"/>
  <c r="E102" i="48"/>
  <c r="F102" i="48"/>
  <c r="B104" i="48"/>
  <c r="C104" i="48"/>
  <c r="D104" i="48"/>
  <c r="E104" i="48"/>
  <c r="F104" i="48"/>
  <c r="B108" i="48"/>
  <c r="C108" i="48"/>
  <c r="D108" i="48"/>
  <c r="E108" i="48"/>
  <c r="F108" i="48"/>
  <c r="B2" i="44"/>
  <c r="B11" i="44"/>
  <c r="D11" i="44"/>
  <c r="E11" i="44"/>
  <c r="B13" i="44"/>
  <c r="D13" i="44"/>
  <c r="E13" i="44"/>
  <c r="F13" i="44"/>
  <c r="B14" i="44"/>
  <c r="C14" i="44"/>
  <c r="D14" i="44"/>
  <c r="E14" i="44"/>
  <c r="B19" i="44"/>
  <c r="C19" i="44"/>
  <c r="D19" i="44"/>
  <c r="E19" i="44"/>
  <c r="B25" i="44"/>
  <c r="B29" i="44"/>
  <c r="C29" i="44"/>
  <c r="D29" i="44"/>
  <c r="E29" i="44"/>
  <c r="D31" i="44"/>
  <c r="D33" i="44"/>
  <c r="E33" i="44"/>
  <c r="B34" i="44"/>
  <c r="C34" i="44"/>
  <c r="D34" i="44"/>
  <c r="E34" i="44"/>
  <c r="E40" i="44"/>
  <c r="B42" i="44"/>
  <c r="C42" i="44"/>
  <c r="D42" i="44"/>
  <c r="E42" i="44"/>
  <c r="B45" i="44"/>
  <c r="C45" i="44"/>
  <c r="D45" i="44"/>
  <c r="E45" i="44"/>
  <c r="B48" i="44"/>
  <c r="C48" i="44"/>
  <c r="D48" i="44"/>
  <c r="E48" i="44"/>
  <c r="B49" i="44"/>
  <c r="C49" i="44"/>
  <c r="D49" i="44"/>
  <c r="E49" i="44"/>
  <c r="B50" i="44"/>
  <c r="C50" i="44"/>
  <c r="D50" i="44"/>
  <c r="E50" i="44"/>
  <c r="B51" i="44"/>
  <c r="C51" i="44"/>
  <c r="D51" i="44"/>
  <c r="E51" i="44"/>
  <c r="B52" i="44"/>
  <c r="C52" i="44"/>
  <c r="D52" i="44"/>
  <c r="E52" i="44"/>
  <c r="B53" i="44"/>
  <c r="C53" i="44"/>
  <c r="D53" i="44"/>
  <c r="E53" i="44"/>
  <c r="B56" i="44"/>
  <c r="C56" i="44"/>
  <c r="D56" i="44"/>
  <c r="E56" i="44"/>
  <c r="D65" i="44"/>
  <c r="B66" i="44"/>
  <c r="C66" i="44"/>
  <c r="D66" i="44"/>
  <c r="E66" i="44"/>
  <c r="B74" i="44"/>
  <c r="C74" i="44"/>
  <c r="D74" i="44"/>
  <c r="E74" i="44"/>
  <c r="B79" i="44"/>
  <c r="C79" i="44"/>
  <c r="D79" i="44"/>
  <c r="E79" i="44"/>
  <c r="B87" i="44"/>
  <c r="C87" i="44"/>
  <c r="D87" i="44"/>
  <c r="E87" i="44"/>
  <c r="B92" i="44"/>
  <c r="B98" i="44"/>
  <c r="C98" i="44"/>
  <c r="D98" i="44"/>
  <c r="E98" i="44"/>
  <c r="B103" i="44"/>
  <c r="C105" i="44"/>
  <c r="D105" i="44"/>
  <c r="B107" i="44"/>
  <c r="C107" i="44"/>
  <c r="D107" i="44"/>
  <c r="E107" i="44"/>
  <c r="B113" i="44"/>
  <c r="C113" i="44"/>
  <c r="D113" i="44"/>
  <c r="E113" i="44"/>
  <c r="B115" i="44"/>
  <c r="C115" i="44"/>
  <c r="D115" i="44"/>
  <c r="E115" i="44"/>
  <c r="B119" i="44"/>
  <c r="C119" i="44"/>
  <c r="D119" i="44"/>
  <c r="E119" i="44"/>
  <c r="B121" i="44"/>
  <c r="C121" i="44"/>
  <c r="D121" i="44"/>
  <c r="E121" i="44"/>
  <c r="B2" i="20"/>
  <c r="D2" i="20"/>
  <c r="F9" i="20"/>
  <c r="E13" i="20"/>
  <c r="E15" i="20"/>
  <c r="G15" i="20"/>
  <c r="B21" i="20"/>
  <c r="C21" i="20"/>
  <c r="D21" i="20"/>
  <c r="E21" i="20"/>
  <c r="F21" i="20"/>
  <c r="G21" i="20"/>
  <c r="F35" i="20"/>
  <c r="F49" i="20"/>
  <c r="B51" i="20"/>
  <c r="C51" i="20"/>
  <c r="D51" i="20"/>
  <c r="E51" i="20"/>
  <c r="F51" i="20"/>
  <c r="B63" i="20"/>
  <c r="C63" i="20"/>
  <c r="D63" i="20"/>
  <c r="E63" i="20"/>
  <c r="F63" i="20"/>
  <c r="B66" i="20"/>
  <c r="C66" i="20"/>
  <c r="D66" i="20"/>
  <c r="E66" i="20"/>
  <c r="B70" i="20"/>
  <c r="C70" i="20"/>
  <c r="D70" i="20"/>
  <c r="E70" i="20"/>
  <c r="F70" i="20"/>
  <c r="B78" i="20"/>
  <c r="C78" i="20"/>
  <c r="D78" i="20"/>
  <c r="E78" i="20"/>
  <c r="F78" i="20"/>
  <c r="B84" i="20"/>
  <c r="C84" i="20"/>
  <c r="D84" i="20"/>
  <c r="E84" i="20"/>
  <c r="F84" i="20"/>
  <c r="G84" i="20"/>
  <c r="B91" i="20"/>
  <c r="C91" i="20"/>
  <c r="D91" i="20"/>
  <c r="E91" i="20"/>
  <c r="F91" i="20"/>
  <c r="B95" i="20"/>
  <c r="C95" i="20"/>
  <c r="D95" i="20"/>
  <c r="E95" i="20"/>
  <c r="F95" i="20"/>
  <c r="G95" i="20"/>
  <c r="D98" i="20"/>
  <c r="B105" i="20"/>
  <c r="C105" i="20"/>
  <c r="D105" i="20"/>
  <c r="E105" i="20"/>
  <c r="F105" i="20"/>
  <c r="G105" i="20"/>
  <c r="B111" i="20"/>
  <c r="C111" i="20"/>
  <c r="D111" i="20"/>
  <c r="B113" i="20"/>
  <c r="C113" i="20"/>
  <c r="D113" i="20"/>
  <c r="E113" i="20"/>
  <c r="F113" i="20"/>
  <c r="B120" i="20"/>
  <c r="C120" i="20"/>
  <c r="D120" i="20"/>
  <c r="E120" i="20"/>
  <c r="F120" i="20"/>
  <c r="G120" i="20"/>
  <c r="D123" i="20"/>
  <c r="B128" i="20"/>
  <c r="C128" i="20"/>
  <c r="D128" i="20"/>
  <c r="E128" i="20"/>
  <c r="F128" i="20"/>
  <c r="G128" i="20"/>
  <c r="D131" i="20"/>
  <c r="B139" i="20"/>
  <c r="C139" i="20"/>
  <c r="D139" i="20"/>
  <c r="E139" i="20"/>
  <c r="F139" i="20"/>
  <c r="G139" i="20"/>
  <c r="C142" i="20"/>
  <c r="D142" i="20"/>
  <c r="B146" i="20"/>
  <c r="C146" i="20"/>
  <c r="D146" i="20"/>
  <c r="E146" i="20"/>
  <c r="F146" i="20"/>
  <c r="G146" i="20"/>
  <c r="E148" i="20"/>
  <c r="F166" i="20"/>
  <c r="B170" i="20"/>
  <c r="C170" i="20"/>
  <c r="D170" i="20"/>
  <c r="E170" i="20"/>
  <c r="F170" i="20"/>
  <c r="B172" i="20"/>
  <c r="C172" i="20"/>
  <c r="D172" i="20"/>
  <c r="E172" i="20"/>
  <c r="F172" i="20"/>
  <c r="C174" i="20"/>
  <c r="D174" i="20"/>
  <c r="B177" i="20"/>
  <c r="C177" i="20"/>
  <c r="D177" i="20"/>
  <c r="E177" i="20"/>
  <c r="F179" i="20"/>
  <c r="B180" i="20"/>
  <c r="C180" i="20"/>
  <c r="D180" i="20"/>
  <c r="E180" i="20"/>
  <c r="F180" i="20"/>
  <c r="D3" i="21"/>
  <c r="F14" i="21"/>
  <c r="F15" i="21"/>
  <c r="B17" i="21"/>
  <c r="D17" i="21"/>
  <c r="E17" i="21"/>
  <c r="B20" i="21"/>
  <c r="D20" i="21"/>
  <c r="E20" i="21"/>
  <c r="G20" i="21"/>
  <c r="B21" i="21"/>
  <c r="C21" i="21"/>
  <c r="D21" i="21"/>
  <c r="E21" i="21"/>
  <c r="F21" i="21"/>
  <c r="F35" i="21"/>
  <c r="B40" i="21"/>
  <c r="C40" i="21"/>
  <c r="D40" i="21"/>
  <c r="E40" i="21"/>
  <c r="F40" i="21"/>
  <c r="B48" i="21"/>
  <c r="B49" i="21"/>
  <c r="B53" i="21"/>
  <c r="C53" i="21"/>
  <c r="D53" i="21"/>
  <c r="E53" i="21"/>
  <c r="F53" i="21"/>
  <c r="B56" i="21"/>
  <c r="C56" i="21"/>
  <c r="D56" i="21"/>
  <c r="E56" i="21"/>
  <c r="F57" i="21"/>
  <c r="B62" i="21"/>
  <c r="C62" i="21"/>
  <c r="D62" i="21"/>
  <c r="E62" i="21"/>
  <c r="F62" i="21"/>
  <c r="B70" i="21"/>
  <c r="C70" i="21"/>
  <c r="D70" i="21"/>
  <c r="E70" i="21"/>
  <c r="F70" i="21"/>
  <c r="B76" i="21"/>
  <c r="C76" i="21"/>
  <c r="D76" i="21"/>
  <c r="E76" i="21"/>
  <c r="F76" i="21"/>
  <c r="B83" i="21"/>
  <c r="C83" i="21"/>
  <c r="D83" i="21"/>
  <c r="E83" i="21"/>
  <c r="C84" i="21"/>
  <c r="D84" i="21"/>
  <c r="E84" i="21"/>
  <c r="B88" i="21"/>
  <c r="C88" i="21"/>
  <c r="D88" i="21"/>
  <c r="E88" i="21"/>
  <c r="F88" i="21"/>
  <c r="E93" i="21"/>
  <c r="B97" i="21"/>
  <c r="C97" i="21"/>
  <c r="D97" i="21"/>
  <c r="E97" i="21"/>
  <c r="B98" i="21"/>
  <c r="C98" i="21"/>
  <c r="D98" i="21"/>
  <c r="E98" i="21"/>
  <c r="F98" i="21"/>
  <c r="B106" i="21"/>
  <c r="C106" i="21"/>
  <c r="D106" i="21"/>
  <c r="E106" i="21"/>
  <c r="F106" i="21"/>
  <c r="B112" i="21"/>
  <c r="C112" i="21"/>
  <c r="D112" i="21"/>
  <c r="E112" i="21"/>
  <c r="F112" i="21"/>
  <c r="B120" i="21"/>
  <c r="C120" i="21"/>
  <c r="D120" i="21"/>
  <c r="E120" i="21"/>
  <c r="F120" i="21"/>
  <c r="B131" i="21"/>
  <c r="C131" i="21"/>
  <c r="D131" i="21"/>
  <c r="E131" i="21"/>
  <c r="F131" i="21"/>
  <c r="B135" i="21"/>
  <c r="C135" i="21"/>
  <c r="D135" i="21"/>
  <c r="E135" i="21"/>
  <c r="F135" i="21"/>
  <c r="B143" i="21"/>
  <c r="C143" i="21"/>
  <c r="D143" i="21"/>
  <c r="E143" i="21"/>
  <c r="F143" i="21"/>
  <c r="E145" i="21"/>
  <c r="B155" i="21"/>
  <c r="C155" i="21"/>
  <c r="D155" i="21"/>
  <c r="E155" i="21"/>
  <c r="F155" i="21"/>
  <c r="B157" i="21"/>
  <c r="C157" i="21"/>
  <c r="D157" i="21"/>
  <c r="E157" i="21"/>
  <c r="F157" i="21"/>
  <c r="B162" i="21"/>
  <c r="C162" i="21"/>
  <c r="D162" i="21"/>
  <c r="E162" i="21"/>
  <c r="B164" i="21"/>
  <c r="C164" i="21"/>
  <c r="D164" i="21"/>
  <c r="E164" i="21"/>
  <c r="F164" i="21"/>
  <c r="B13" i="22"/>
  <c r="D13" i="22"/>
  <c r="E13" i="22"/>
  <c r="B15" i="22"/>
  <c r="C15" i="22"/>
  <c r="D15" i="22"/>
  <c r="E15" i="22"/>
  <c r="G15" i="22"/>
  <c r="B16" i="22"/>
  <c r="C16" i="22"/>
  <c r="D16" i="22"/>
  <c r="E16" i="22"/>
  <c r="F16" i="22"/>
  <c r="B22" i="22"/>
  <c r="C22" i="22"/>
  <c r="D22" i="22"/>
  <c r="E22" i="22"/>
  <c r="F22" i="22"/>
  <c r="B28" i="22"/>
  <c r="C28" i="22"/>
  <c r="D28" i="22"/>
  <c r="B34" i="22"/>
  <c r="C34" i="22"/>
  <c r="D34" i="22"/>
  <c r="E34" i="22"/>
  <c r="F34" i="22"/>
  <c r="C36" i="22"/>
  <c r="D36" i="22"/>
  <c r="E36" i="22"/>
  <c r="B39" i="22"/>
  <c r="C39" i="22"/>
  <c r="D39" i="22"/>
  <c r="E39" i="22"/>
  <c r="F39" i="22"/>
  <c r="B47" i="22"/>
  <c r="C47" i="22"/>
  <c r="D47" i="22"/>
  <c r="E47" i="22"/>
  <c r="B50" i="22"/>
  <c r="C50" i="22"/>
  <c r="D50" i="22"/>
  <c r="E50" i="22"/>
  <c r="F50" i="22"/>
  <c r="B57" i="22"/>
  <c r="C57" i="22"/>
  <c r="D57" i="22"/>
  <c r="E57" i="22"/>
  <c r="B60" i="22"/>
  <c r="C60" i="22"/>
  <c r="D60" i="22"/>
  <c r="E60" i="22"/>
  <c r="F60" i="22"/>
  <c r="E65" i="22"/>
  <c r="C68" i="22"/>
  <c r="D68" i="22"/>
  <c r="E68" i="22"/>
  <c r="B69" i="22"/>
  <c r="C69" i="22"/>
  <c r="D69" i="22"/>
  <c r="E69" i="22"/>
  <c r="F69" i="22"/>
  <c r="B77" i="22"/>
  <c r="C77" i="22"/>
  <c r="D77" i="22"/>
  <c r="E77" i="22"/>
  <c r="F77" i="22"/>
  <c r="B82" i="22"/>
  <c r="C82" i="22"/>
  <c r="D82" i="22"/>
  <c r="E82" i="22"/>
  <c r="F82" i="22"/>
  <c r="B90" i="22"/>
  <c r="C90" i="22"/>
  <c r="D90" i="22"/>
  <c r="E90" i="22"/>
  <c r="F90" i="22"/>
  <c r="B101" i="22"/>
  <c r="C101" i="22"/>
  <c r="D101" i="22"/>
  <c r="E101" i="22"/>
  <c r="F101" i="22"/>
  <c r="B108" i="22"/>
  <c r="C108" i="22"/>
  <c r="D108" i="22"/>
  <c r="E108" i="22"/>
  <c r="F108" i="22"/>
  <c r="E110" i="22"/>
  <c r="B116" i="22"/>
  <c r="C116" i="22"/>
  <c r="D116" i="22"/>
  <c r="E116" i="22"/>
  <c r="F116" i="22"/>
  <c r="G116" i="22"/>
  <c r="B118" i="22"/>
  <c r="C118" i="22"/>
  <c r="D118" i="22"/>
  <c r="E118" i="22"/>
  <c r="F118" i="22"/>
  <c r="B122" i="22"/>
  <c r="C122" i="22"/>
  <c r="D122" i="22"/>
  <c r="E122" i="22"/>
  <c r="B124" i="22"/>
  <c r="C124" i="22"/>
  <c r="D124" i="22"/>
  <c r="E124" i="22"/>
  <c r="F124" i="22"/>
  <c r="B17" i="35"/>
  <c r="B18" i="35"/>
  <c r="G18" i="35"/>
  <c r="B21" i="35"/>
  <c r="C21" i="35"/>
  <c r="D21" i="35"/>
  <c r="E21" i="35"/>
  <c r="F21" i="35"/>
  <c r="B33" i="35"/>
  <c r="C33" i="35"/>
  <c r="D33" i="35"/>
  <c r="E33" i="35"/>
  <c r="F33" i="35"/>
  <c r="B35" i="35"/>
  <c r="D35" i="35"/>
  <c r="B36" i="35"/>
  <c r="D36" i="35"/>
  <c r="E36" i="35"/>
  <c r="D38" i="35"/>
  <c r="B41" i="35"/>
  <c r="C41" i="35"/>
  <c r="D41" i="35"/>
  <c r="E41" i="35"/>
  <c r="F41" i="35"/>
  <c r="B48" i="35"/>
  <c r="C48" i="35"/>
  <c r="D48" i="35"/>
  <c r="E48" i="35"/>
  <c r="F48" i="35"/>
  <c r="B53" i="35"/>
  <c r="C53" i="35"/>
  <c r="D53" i="35"/>
  <c r="E53" i="35"/>
  <c r="F53" i="35"/>
  <c r="B58" i="35"/>
  <c r="B59" i="35"/>
  <c r="B60" i="35"/>
  <c r="C60" i="35"/>
  <c r="D60" i="35"/>
  <c r="E60" i="35"/>
  <c r="D62" i="35"/>
  <c r="B63" i="35"/>
  <c r="C63" i="35"/>
  <c r="D63" i="35"/>
  <c r="E63" i="35"/>
  <c r="F63" i="35"/>
  <c r="B74" i="35"/>
  <c r="C74" i="35"/>
  <c r="D74" i="35"/>
  <c r="E74" i="35"/>
  <c r="F74" i="35"/>
  <c r="B82" i="35"/>
  <c r="C82" i="35"/>
  <c r="D82" i="35"/>
  <c r="E82" i="35"/>
  <c r="B87" i="35"/>
  <c r="C87" i="35"/>
  <c r="D87" i="35"/>
  <c r="E87" i="35"/>
  <c r="F87" i="35"/>
  <c r="B94" i="35"/>
  <c r="C94" i="35"/>
  <c r="D94" i="35"/>
  <c r="E94" i="35"/>
  <c r="F94" i="35"/>
  <c r="B105" i="35"/>
  <c r="C105" i="35"/>
  <c r="D105" i="35"/>
  <c r="E105" i="35"/>
  <c r="F105" i="35"/>
  <c r="B111" i="35"/>
  <c r="C111" i="35"/>
  <c r="D111" i="35"/>
  <c r="E111" i="35"/>
  <c r="F111" i="35"/>
  <c r="D114" i="35"/>
  <c r="B118" i="35"/>
  <c r="C118" i="35"/>
  <c r="D118" i="35"/>
  <c r="E118" i="35"/>
  <c r="F118" i="35"/>
  <c r="B122" i="35"/>
  <c r="C122" i="35"/>
  <c r="D122" i="35"/>
  <c r="E122" i="35"/>
  <c r="B124" i="35"/>
  <c r="C124" i="35"/>
  <c r="D124" i="35"/>
  <c r="E124" i="35"/>
  <c r="F124" i="35"/>
  <c r="B126" i="35"/>
  <c r="C126" i="35"/>
  <c r="D126" i="35"/>
  <c r="E126" i="35"/>
  <c r="F126" i="35"/>
  <c r="B127" i="35"/>
  <c r="C127" i="35"/>
  <c r="D127" i="35"/>
  <c r="E127" i="35"/>
  <c r="F127" i="35"/>
  <c r="B128" i="35"/>
  <c r="C128" i="35"/>
  <c r="D128" i="35"/>
  <c r="E128" i="35"/>
  <c r="F128" i="35"/>
  <c r="P2" i="68"/>
  <c r="P6" i="68"/>
  <c r="X2" i="68"/>
  <c r="P3" i="68"/>
  <c r="O4" i="68"/>
  <c r="N6" i="68"/>
  <c r="X6" i="68"/>
  <c r="N7" i="68"/>
  <c r="N8" i="68"/>
  <c r="P8" i="68"/>
  <c r="O8" i="68"/>
  <c r="N9" i="68"/>
  <c r="N10" i="68"/>
  <c r="P10" i="68"/>
  <c r="O10" i="68"/>
  <c r="S10" i="68"/>
  <c r="S17" i="68"/>
  <c r="S114" i="68"/>
  <c r="S117" i="68"/>
  <c r="B11" i="68"/>
  <c r="C11" i="68"/>
  <c r="D11" i="68"/>
  <c r="E11" i="68"/>
  <c r="F11" i="68"/>
  <c r="G11" i="68"/>
  <c r="H11" i="68"/>
  <c r="I11" i="68"/>
  <c r="N11" i="68"/>
  <c r="P11" i="68"/>
  <c r="O11" i="68"/>
  <c r="S11" i="68"/>
  <c r="B12" i="68"/>
  <c r="C12" i="68"/>
  <c r="D12" i="68"/>
  <c r="E12" i="68"/>
  <c r="F12" i="68"/>
  <c r="G12" i="68"/>
  <c r="I12" i="68"/>
  <c r="N12" i="68"/>
  <c r="P12" i="68"/>
  <c r="O12" i="68"/>
  <c r="N13" i="68"/>
  <c r="N14" i="68"/>
  <c r="C15" i="68"/>
  <c r="F15" i="68"/>
  <c r="H15" i="68"/>
  <c r="I15" i="68"/>
  <c r="N15" i="68"/>
  <c r="R15" i="68"/>
  <c r="R17" i="68"/>
  <c r="R114" i="68"/>
  <c r="R117" i="68"/>
  <c r="I16" i="68"/>
  <c r="N16" i="68"/>
  <c r="P16" i="68"/>
  <c r="B17" i="68"/>
  <c r="C17" i="68"/>
  <c r="D17" i="68"/>
  <c r="E17" i="68"/>
  <c r="F17" i="68"/>
  <c r="G17" i="68"/>
  <c r="H17" i="68"/>
  <c r="I17" i="68"/>
  <c r="J17" i="68"/>
  <c r="K17" i="68"/>
  <c r="L17" i="68"/>
  <c r="M17" i="68"/>
  <c r="N17" i="68"/>
  <c r="Q17" i="68"/>
  <c r="X17" i="68"/>
  <c r="C21" i="68"/>
  <c r="D21" i="68"/>
  <c r="E21" i="68"/>
  <c r="F21" i="68"/>
  <c r="G21" i="68"/>
  <c r="H21" i="68"/>
  <c r="N21" i="68"/>
  <c r="P21" i="68"/>
  <c r="O21" i="68"/>
  <c r="H22" i="68"/>
  <c r="N22" i="68"/>
  <c r="P22" i="68"/>
  <c r="O22" i="68"/>
  <c r="X22" i="68"/>
  <c r="X23" i="68"/>
  <c r="X31" i="68"/>
  <c r="B23" i="68"/>
  <c r="C23" i="68"/>
  <c r="D23" i="68"/>
  <c r="E23" i="68"/>
  <c r="F23" i="68"/>
  <c r="G23" i="68"/>
  <c r="H23" i="68"/>
  <c r="I23" i="68"/>
  <c r="J23" i="68"/>
  <c r="K23" i="68"/>
  <c r="L23" i="68"/>
  <c r="M23" i="68"/>
  <c r="N23" i="68"/>
  <c r="Q23" i="68"/>
  <c r="R23" i="68"/>
  <c r="S23" i="68"/>
  <c r="T23" i="68"/>
  <c r="N24" i="68"/>
  <c r="P24" i="68"/>
  <c r="O24" i="68"/>
  <c r="S24" i="68"/>
  <c r="X24" i="68"/>
  <c r="AC24" i="68"/>
  <c r="N25" i="68"/>
  <c r="P25" i="68"/>
  <c r="O25" i="68"/>
  <c r="N26" i="68"/>
  <c r="N27" i="68"/>
  <c r="P27" i="68"/>
  <c r="O27" i="68"/>
  <c r="N28" i="68"/>
  <c r="N29" i="68"/>
  <c r="P29" i="68"/>
  <c r="O29" i="68"/>
  <c r="N30" i="68"/>
  <c r="P30" i="68"/>
  <c r="B31" i="68"/>
  <c r="C31" i="68"/>
  <c r="D31" i="68"/>
  <c r="E31" i="68"/>
  <c r="F31" i="68"/>
  <c r="G31" i="68"/>
  <c r="H31" i="68"/>
  <c r="I31" i="68"/>
  <c r="J31" i="68"/>
  <c r="K31" i="68"/>
  <c r="L31" i="68"/>
  <c r="M31" i="68"/>
  <c r="N31" i="68"/>
  <c r="Q31" i="68"/>
  <c r="R31" i="68"/>
  <c r="S31" i="68"/>
  <c r="T31" i="68"/>
  <c r="B34" i="68"/>
  <c r="C34" i="68"/>
  <c r="N34" i="68"/>
  <c r="P34" i="68"/>
  <c r="P39" i="68"/>
  <c r="O39" i="68"/>
  <c r="B35" i="68"/>
  <c r="C35" i="68"/>
  <c r="N35" i="68"/>
  <c r="S35" i="68"/>
  <c r="X35" i="68"/>
  <c r="AC35" i="68"/>
  <c r="N36" i="68"/>
  <c r="P36" i="68"/>
  <c r="O36" i="68"/>
  <c r="N37" i="68"/>
  <c r="P37" i="68"/>
  <c r="N38" i="68"/>
  <c r="P38" i="68"/>
  <c r="O38" i="68"/>
  <c r="B39" i="68"/>
  <c r="C39" i="68"/>
  <c r="D39" i="68"/>
  <c r="E39" i="68"/>
  <c r="F39" i="68"/>
  <c r="G39" i="68"/>
  <c r="H39" i="68"/>
  <c r="I39" i="68"/>
  <c r="J39" i="68"/>
  <c r="K39" i="68"/>
  <c r="L39" i="68"/>
  <c r="M39" i="68"/>
  <c r="N39" i="68"/>
  <c r="Q39" i="68"/>
  <c r="R39" i="68"/>
  <c r="S39" i="68"/>
  <c r="T39" i="68"/>
  <c r="X39" i="68"/>
  <c r="N42" i="68"/>
  <c r="P42" i="68"/>
  <c r="O42" i="68"/>
  <c r="N43" i="68"/>
  <c r="P43" i="68"/>
  <c r="O43" i="68"/>
  <c r="B44" i="68"/>
  <c r="C44" i="68"/>
  <c r="D44" i="68"/>
  <c r="E44" i="68"/>
  <c r="F44" i="68"/>
  <c r="G44" i="68"/>
  <c r="H44" i="68"/>
  <c r="I44" i="68"/>
  <c r="J44" i="68"/>
  <c r="K44" i="68"/>
  <c r="L44" i="68"/>
  <c r="M44" i="68"/>
  <c r="N44" i="68"/>
  <c r="Q44" i="68"/>
  <c r="R44" i="68"/>
  <c r="S44" i="68"/>
  <c r="T44" i="68"/>
  <c r="X44" i="68"/>
  <c r="N47" i="68"/>
  <c r="P47" i="68"/>
  <c r="O47" i="68"/>
  <c r="N48" i="68"/>
  <c r="P48" i="68"/>
  <c r="O48" i="68"/>
  <c r="N49" i="68"/>
  <c r="P49" i="68"/>
  <c r="O49" i="68"/>
  <c r="S49" i="68"/>
  <c r="AC49" i="68"/>
  <c r="N50" i="68"/>
  <c r="P50" i="68"/>
  <c r="O50" i="68"/>
  <c r="N51" i="68"/>
  <c r="P51" i="68"/>
  <c r="O51" i="68"/>
  <c r="N52" i="68"/>
  <c r="P52" i="68"/>
  <c r="O52" i="68"/>
  <c r="N53" i="68"/>
  <c r="P53" i="68"/>
  <c r="O53" i="68"/>
  <c r="N54" i="68"/>
  <c r="P54" i="68"/>
  <c r="C55" i="68"/>
  <c r="E55" i="68"/>
  <c r="F55" i="68"/>
  <c r="N55" i="68"/>
  <c r="P55" i="68"/>
  <c r="O55" i="68"/>
  <c r="N56" i="68"/>
  <c r="B57" i="68"/>
  <c r="C57" i="68"/>
  <c r="D57" i="68"/>
  <c r="E57" i="68"/>
  <c r="F57" i="68"/>
  <c r="G57" i="68"/>
  <c r="H57" i="68"/>
  <c r="I57" i="68"/>
  <c r="J57" i="68"/>
  <c r="K57" i="68"/>
  <c r="L57" i="68"/>
  <c r="M57" i="68"/>
  <c r="N57" i="68"/>
  <c r="Q57" i="68"/>
  <c r="R57" i="68"/>
  <c r="S57" i="68"/>
  <c r="T57" i="68"/>
  <c r="X57" i="68"/>
  <c r="G60" i="68"/>
  <c r="N60" i="68"/>
  <c r="P60" i="68"/>
  <c r="X60" i="68"/>
  <c r="N61" i="68"/>
  <c r="X61" i="68"/>
  <c r="N62" i="68"/>
  <c r="P62" i="68"/>
  <c r="S62" i="68"/>
  <c r="AC62" i="68"/>
  <c r="N63" i="68"/>
  <c r="P63" i="68"/>
  <c r="O63" i="68"/>
  <c r="N64" i="68"/>
  <c r="P64" i="68"/>
  <c r="O64" i="68"/>
  <c r="N65" i="68"/>
  <c r="P65" i="68"/>
  <c r="O65" i="68"/>
  <c r="X65" i="68"/>
  <c r="X66" i="68"/>
  <c r="X70" i="68"/>
  <c r="X116" i="68"/>
  <c r="X118" i="68"/>
  <c r="B66" i="68"/>
  <c r="C66" i="68"/>
  <c r="D66" i="68"/>
  <c r="E66" i="68"/>
  <c r="F66" i="68"/>
  <c r="G66" i="68"/>
  <c r="H66" i="68"/>
  <c r="I66" i="68"/>
  <c r="J66" i="68"/>
  <c r="K66" i="68"/>
  <c r="L66" i="68"/>
  <c r="M66" i="68"/>
  <c r="N66" i="68"/>
  <c r="Q66" i="68"/>
  <c r="R66" i="68"/>
  <c r="S66" i="68"/>
  <c r="T66" i="68"/>
  <c r="N69" i="68"/>
  <c r="P69" i="68"/>
  <c r="O69" i="68"/>
  <c r="N70" i="68"/>
  <c r="P70" i="68"/>
  <c r="O70" i="68"/>
  <c r="N71" i="68"/>
  <c r="P71" i="68"/>
  <c r="O71" i="68"/>
  <c r="S71" i="68"/>
  <c r="AC71" i="68"/>
  <c r="N72" i="68"/>
  <c r="P72" i="68"/>
  <c r="O72" i="68"/>
  <c r="N73" i="68"/>
  <c r="O73" i="68"/>
  <c r="P73" i="68"/>
  <c r="N74" i="68"/>
  <c r="P74" i="68"/>
  <c r="O74" i="68"/>
  <c r="N75" i="68"/>
  <c r="P75" i="68"/>
  <c r="O75" i="68"/>
  <c r="N76" i="68"/>
  <c r="P76" i="68"/>
  <c r="O76" i="68"/>
  <c r="D77" i="68"/>
  <c r="E77" i="68"/>
  <c r="N77" i="68"/>
  <c r="N78" i="68"/>
  <c r="P78" i="68"/>
  <c r="O78" i="68"/>
  <c r="B79" i="68"/>
  <c r="C79" i="68"/>
  <c r="D79" i="68"/>
  <c r="E79" i="68"/>
  <c r="F79" i="68"/>
  <c r="G79" i="68"/>
  <c r="H79" i="68"/>
  <c r="I79" i="68"/>
  <c r="J79" i="68"/>
  <c r="K79" i="68"/>
  <c r="L79" i="68"/>
  <c r="M79" i="68"/>
  <c r="N79" i="68"/>
  <c r="Q79" i="68"/>
  <c r="R79" i="68"/>
  <c r="S79" i="68"/>
  <c r="T79" i="68"/>
  <c r="D82" i="68"/>
  <c r="N82" i="68"/>
  <c r="P82" i="68"/>
  <c r="O82" i="68"/>
  <c r="D83" i="68"/>
  <c r="N83" i="68"/>
  <c r="P83" i="68"/>
  <c r="O83" i="68"/>
  <c r="S83" i="68"/>
  <c r="X83" i="68"/>
  <c r="AC83" i="68"/>
  <c r="B84" i="68"/>
  <c r="D84" i="68"/>
  <c r="N84" i="68"/>
  <c r="P84" i="68"/>
  <c r="O84" i="68"/>
  <c r="N85" i="68"/>
  <c r="O85" i="68"/>
  <c r="P85" i="68"/>
  <c r="N86" i="68"/>
  <c r="P86" i="68"/>
  <c r="O86" i="68"/>
  <c r="N87" i="68"/>
  <c r="P87" i="68"/>
  <c r="P91" i="68"/>
  <c r="O91" i="68"/>
  <c r="N88" i="68"/>
  <c r="O88" i="68"/>
  <c r="P88" i="68"/>
  <c r="N89" i="68"/>
  <c r="P89" i="68"/>
  <c r="O89" i="68"/>
  <c r="X89" i="68"/>
  <c r="N90" i="68"/>
  <c r="P90" i="68"/>
  <c r="O90" i="68"/>
  <c r="B91" i="68"/>
  <c r="C91" i="68"/>
  <c r="D91" i="68"/>
  <c r="E91" i="68"/>
  <c r="F91" i="68"/>
  <c r="G91" i="68"/>
  <c r="H91" i="68"/>
  <c r="I91" i="68"/>
  <c r="J91" i="68"/>
  <c r="K91" i="68"/>
  <c r="L91" i="68"/>
  <c r="M91" i="68"/>
  <c r="N91" i="68"/>
  <c r="Q91" i="68"/>
  <c r="R91" i="68"/>
  <c r="S91" i="68"/>
  <c r="T91" i="68"/>
  <c r="D94" i="68"/>
  <c r="N94" i="68"/>
  <c r="O94" i="68"/>
  <c r="P94" i="68"/>
  <c r="N95" i="68"/>
  <c r="P95" i="68"/>
  <c r="S95" i="68"/>
  <c r="X95" i="68"/>
  <c r="D96" i="68"/>
  <c r="N96" i="68"/>
  <c r="O96" i="68"/>
  <c r="P96" i="68"/>
  <c r="D97" i="68"/>
  <c r="N97" i="68"/>
  <c r="O97" i="68"/>
  <c r="P97" i="68"/>
  <c r="B98" i="68"/>
  <c r="C98" i="68"/>
  <c r="D98" i="68"/>
  <c r="E98" i="68"/>
  <c r="F98" i="68"/>
  <c r="G98" i="68"/>
  <c r="H98" i="68"/>
  <c r="I98" i="68"/>
  <c r="J98" i="68"/>
  <c r="K98" i="68"/>
  <c r="L98" i="68"/>
  <c r="M98" i="68"/>
  <c r="N98" i="68"/>
  <c r="Q98" i="68"/>
  <c r="R98" i="68"/>
  <c r="S98" i="68"/>
  <c r="T98" i="68"/>
  <c r="X98" i="68"/>
  <c r="X99" i="68"/>
  <c r="X100" i="68"/>
  <c r="N101" i="68"/>
  <c r="P101" i="68"/>
  <c r="N102" i="68"/>
  <c r="P102" i="68"/>
  <c r="O102" i="68"/>
  <c r="N103" i="68"/>
  <c r="O103" i="68"/>
  <c r="P103" i="68"/>
  <c r="N104" i="68"/>
  <c r="P104" i="68"/>
  <c r="O104" i="68"/>
  <c r="X104" i="68"/>
  <c r="N105" i="68"/>
  <c r="N106" i="68"/>
  <c r="P106" i="68"/>
  <c r="O106" i="68"/>
  <c r="N107" i="68"/>
  <c r="P107" i="68"/>
  <c r="O107" i="68"/>
  <c r="B108" i="68"/>
  <c r="C108" i="68"/>
  <c r="D108" i="68"/>
  <c r="E108" i="68"/>
  <c r="F108" i="68"/>
  <c r="G108" i="68"/>
  <c r="H108" i="68"/>
  <c r="I108" i="68"/>
  <c r="J108" i="68"/>
  <c r="K108" i="68"/>
  <c r="L108" i="68"/>
  <c r="M108" i="68"/>
  <c r="N108" i="68"/>
  <c r="Q108" i="68"/>
  <c r="R108" i="68"/>
  <c r="S108" i="68"/>
  <c r="T108" i="68"/>
  <c r="N110" i="68"/>
  <c r="P110" i="68"/>
  <c r="O110" i="68"/>
  <c r="B112" i="68"/>
  <c r="C112" i="68"/>
  <c r="D112" i="68"/>
  <c r="E112" i="68"/>
  <c r="F112" i="68"/>
  <c r="G112" i="68"/>
  <c r="H112" i="68"/>
  <c r="I112" i="68"/>
  <c r="J112" i="68"/>
  <c r="K112" i="68"/>
  <c r="L112" i="68"/>
  <c r="M112" i="68"/>
  <c r="N112" i="68"/>
  <c r="Q112" i="68"/>
  <c r="R112" i="68"/>
  <c r="S112" i="68"/>
  <c r="T112" i="68"/>
  <c r="X112" i="68"/>
  <c r="B114" i="68"/>
  <c r="C114" i="68"/>
  <c r="D114" i="68"/>
  <c r="E114" i="68"/>
  <c r="F114" i="68"/>
  <c r="G114" i="68"/>
  <c r="H114" i="68"/>
  <c r="I114" i="68"/>
  <c r="J114" i="68"/>
  <c r="K114" i="68"/>
  <c r="L114" i="68"/>
  <c r="M114" i="68"/>
  <c r="N114" i="68"/>
  <c r="Q114" i="68"/>
  <c r="Q117" i="68"/>
  <c r="A4" i="67"/>
  <c r="L4" i="67"/>
  <c r="B6" i="67"/>
  <c r="C6" i="67"/>
  <c r="D6" i="67"/>
  <c r="E6" i="67"/>
  <c r="F6" i="67"/>
  <c r="G6" i="67"/>
  <c r="H6" i="67"/>
  <c r="I6" i="67"/>
  <c r="J6" i="67"/>
  <c r="M6" i="67"/>
  <c r="B10" i="67"/>
  <c r="C10" i="67"/>
  <c r="D10" i="67"/>
  <c r="E10" i="67"/>
  <c r="F10" i="67"/>
  <c r="G10" i="67"/>
  <c r="H10" i="67"/>
  <c r="I10" i="67"/>
  <c r="J10" i="67"/>
  <c r="B12" i="67"/>
  <c r="C12" i="67"/>
  <c r="D12" i="67"/>
  <c r="E12" i="67"/>
  <c r="F12" i="67"/>
  <c r="G12" i="67"/>
  <c r="H12" i="67"/>
  <c r="I12" i="67"/>
  <c r="J12" i="67"/>
  <c r="M12" i="67"/>
  <c r="B14" i="67"/>
  <c r="C14" i="67"/>
  <c r="D14" i="67"/>
  <c r="E14" i="67"/>
  <c r="F14" i="67"/>
  <c r="G14" i="67"/>
  <c r="H14" i="67"/>
  <c r="I14" i="67"/>
  <c r="J14" i="67"/>
  <c r="M14" i="67"/>
  <c r="B16" i="67"/>
  <c r="C16" i="67"/>
  <c r="D16" i="67"/>
  <c r="E16" i="67"/>
  <c r="F16" i="67"/>
  <c r="G16" i="67"/>
  <c r="H16" i="67"/>
  <c r="I16" i="67"/>
  <c r="J16" i="67"/>
  <c r="M16" i="67"/>
  <c r="B18" i="67"/>
  <c r="C18" i="67"/>
  <c r="D18" i="67"/>
  <c r="E18" i="67"/>
  <c r="F18" i="67"/>
  <c r="G18" i="67"/>
  <c r="H18" i="67"/>
  <c r="I18" i="67"/>
  <c r="J18" i="67"/>
  <c r="M18" i="67"/>
  <c r="B20" i="67"/>
  <c r="C20" i="67"/>
  <c r="D20" i="67"/>
  <c r="E20" i="67"/>
  <c r="F20" i="67"/>
  <c r="G20" i="67"/>
  <c r="H20" i="67"/>
  <c r="I20" i="67"/>
  <c r="J20" i="67"/>
  <c r="M20" i="67"/>
  <c r="B22" i="67"/>
  <c r="C22" i="67"/>
  <c r="D22" i="67"/>
  <c r="E22" i="67"/>
  <c r="F22" i="67"/>
  <c r="G22" i="67"/>
  <c r="H22" i="67"/>
  <c r="I22" i="67"/>
  <c r="J22" i="67"/>
  <c r="M22" i="67"/>
  <c r="B24" i="67"/>
  <c r="C24" i="67"/>
  <c r="D24" i="67"/>
  <c r="E24" i="67"/>
  <c r="F24" i="67"/>
  <c r="G24" i="67"/>
  <c r="H24" i="67"/>
  <c r="I24" i="67"/>
  <c r="J24" i="67"/>
  <c r="M24" i="67"/>
  <c r="B26" i="67"/>
  <c r="C26" i="67"/>
  <c r="D26" i="67"/>
  <c r="E26" i="67"/>
  <c r="F26" i="67"/>
  <c r="G26" i="67"/>
  <c r="H26" i="67"/>
  <c r="I26" i="67"/>
  <c r="J26" i="67"/>
  <c r="M26" i="67"/>
  <c r="M28" i="67"/>
  <c r="N28" i="67"/>
  <c r="N30" i="67"/>
  <c r="N32" i="67"/>
  <c r="N35" i="67"/>
  <c r="B30" i="67"/>
  <c r="C30" i="67"/>
  <c r="D30" i="67"/>
  <c r="E30" i="67"/>
  <c r="F30" i="67"/>
  <c r="G30" i="67"/>
  <c r="H30" i="67"/>
  <c r="I30" i="67"/>
  <c r="J30" i="67"/>
  <c r="B32" i="67"/>
  <c r="C32" i="67"/>
  <c r="D32" i="67"/>
  <c r="E32" i="67"/>
  <c r="F32" i="67"/>
  <c r="G32" i="67"/>
  <c r="H32" i="67"/>
  <c r="I32" i="67"/>
  <c r="J32" i="67"/>
  <c r="A5" i="66"/>
  <c r="L5" i="66"/>
  <c r="B7" i="66"/>
  <c r="C7" i="66"/>
  <c r="D7" i="66"/>
  <c r="E7" i="66"/>
  <c r="F7" i="66"/>
  <c r="G7" i="66"/>
  <c r="H7" i="66"/>
  <c r="I7" i="66"/>
  <c r="J7" i="66"/>
  <c r="M7" i="66"/>
  <c r="B11" i="66"/>
  <c r="C11" i="66"/>
  <c r="D11" i="66"/>
  <c r="E11" i="66"/>
  <c r="F11" i="66"/>
  <c r="G11" i="66"/>
  <c r="H11" i="66"/>
  <c r="I11" i="66"/>
  <c r="J11" i="66"/>
  <c r="B13" i="66"/>
  <c r="C13" i="66"/>
  <c r="D13" i="66"/>
  <c r="E13" i="66"/>
  <c r="F13" i="66"/>
  <c r="G13" i="66"/>
  <c r="H13" i="66"/>
  <c r="I13" i="66"/>
  <c r="J13" i="66"/>
  <c r="M13" i="66"/>
  <c r="B15" i="66"/>
  <c r="C15" i="66"/>
  <c r="D15" i="66"/>
  <c r="E15" i="66"/>
  <c r="F15" i="66"/>
  <c r="G15" i="66"/>
  <c r="H15" i="66"/>
  <c r="I15" i="66"/>
  <c r="J15" i="66"/>
  <c r="M15" i="66"/>
  <c r="B17" i="66"/>
  <c r="C17" i="66"/>
  <c r="D17" i="66"/>
  <c r="E17" i="66"/>
  <c r="F17" i="66"/>
  <c r="G17" i="66"/>
  <c r="H17" i="66"/>
  <c r="I17" i="66"/>
  <c r="J17" i="66"/>
  <c r="M17" i="66"/>
  <c r="B19" i="66"/>
  <c r="C19" i="66"/>
  <c r="D19" i="66"/>
  <c r="E19" i="66"/>
  <c r="F19" i="66"/>
  <c r="G19" i="66"/>
  <c r="H19" i="66"/>
  <c r="I19" i="66"/>
  <c r="J19" i="66"/>
  <c r="M19" i="66"/>
  <c r="B21" i="66"/>
  <c r="C21" i="66"/>
  <c r="D21" i="66"/>
  <c r="E21" i="66"/>
  <c r="F21" i="66"/>
  <c r="G21" i="66"/>
  <c r="H21" i="66"/>
  <c r="I21" i="66"/>
  <c r="J21" i="66"/>
  <c r="M21" i="66"/>
  <c r="B23" i="66"/>
  <c r="C23" i="66"/>
  <c r="D23" i="66"/>
  <c r="E23" i="66"/>
  <c r="F23" i="66"/>
  <c r="G23" i="66"/>
  <c r="H23" i="66"/>
  <c r="I23" i="66"/>
  <c r="J23" i="66"/>
  <c r="M23" i="66"/>
  <c r="L23" i="66"/>
  <c r="B25" i="66"/>
  <c r="C25" i="66"/>
  <c r="D25" i="66"/>
  <c r="E25" i="66"/>
  <c r="F25" i="66"/>
  <c r="G25" i="66"/>
  <c r="H25" i="66"/>
  <c r="I25" i="66"/>
  <c r="J25" i="66"/>
  <c r="M25" i="66"/>
  <c r="B27" i="66"/>
  <c r="C27" i="66"/>
  <c r="D27" i="66"/>
  <c r="E27" i="66"/>
  <c r="F27" i="66"/>
  <c r="G27" i="66"/>
  <c r="H27" i="66"/>
  <c r="I27" i="66"/>
  <c r="J27" i="66"/>
  <c r="M27" i="66"/>
  <c r="M29" i="66"/>
  <c r="N29" i="66"/>
  <c r="K31" i="66"/>
  <c r="K32" i="66"/>
  <c r="B33" i="66"/>
  <c r="C33" i="66"/>
  <c r="D33" i="66"/>
  <c r="E33" i="66"/>
  <c r="F33" i="66"/>
  <c r="G33" i="66"/>
  <c r="H33" i="66"/>
  <c r="I33" i="66"/>
  <c r="J33" i="66"/>
  <c r="N33" i="66"/>
  <c r="B35" i="66"/>
  <c r="C35" i="66"/>
  <c r="D35" i="66"/>
  <c r="E35" i="66"/>
  <c r="F35" i="66"/>
  <c r="G35" i="66"/>
  <c r="H35" i="66"/>
  <c r="I35" i="66"/>
  <c r="J35" i="66"/>
  <c r="N35" i="66"/>
  <c r="N38" i="66"/>
  <c r="M37" i="66"/>
  <c r="A4" i="65"/>
  <c r="L4" i="65"/>
  <c r="B6" i="65"/>
  <c r="C6" i="65"/>
  <c r="D6" i="65"/>
  <c r="E6" i="65"/>
  <c r="F6" i="65"/>
  <c r="G6" i="65"/>
  <c r="H6" i="65"/>
  <c r="I6" i="65"/>
  <c r="J6" i="65"/>
  <c r="M6" i="65"/>
  <c r="B10" i="65"/>
  <c r="C10" i="65"/>
  <c r="D10" i="65"/>
  <c r="E10" i="65"/>
  <c r="F10" i="65"/>
  <c r="G10" i="65"/>
  <c r="H10" i="65"/>
  <c r="I10" i="65"/>
  <c r="J10" i="65"/>
  <c r="B12" i="65"/>
  <c r="C12" i="65"/>
  <c r="D12" i="65"/>
  <c r="E12" i="65"/>
  <c r="F12" i="65"/>
  <c r="G12" i="65"/>
  <c r="H12" i="65"/>
  <c r="I12" i="65"/>
  <c r="J12" i="65"/>
  <c r="M12" i="65"/>
  <c r="B14" i="65"/>
  <c r="C14" i="65"/>
  <c r="D14" i="65"/>
  <c r="E14" i="65"/>
  <c r="F14" i="65"/>
  <c r="G14" i="65"/>
  <c r="H14" i="65"/>
  <c r="I14" i="65"/>
  <c r="J14" i="65"/>
  <c r="M14" i="65"/>
  <c r="B16" i="65"/>
  <c r="C16" i="65"/>
  <c r="D16" i="65"/>
  <c r="E16" i="65"/>
  <c r="F16" i="65"/>
  <c r="G16" i="65"/>
  <c r="H16" i="65"/>
  <c r="I16" i="65"/>
  <c r="J16" i="65"/>
  <c r="M16" i="65"/>
  <c r="B18" i="65"/>
  <c r="C18" i="65"/>
  <c r="D18" i="65"/>
  <c r="E18" i="65"/>
  <c r="F18" i="65"/>
  <c r="G18" i="65"/>
  <c r="H18" i="65"/>
  <c r="I18" i="65"/>
  <c r="J18" i="65"/>
  <c r="M18" i="65"/>
  <c r="B20" i="65"/>
  <c r="C20" i="65"/>
  <c r="D20" i="65"/>
  <c r="E20" i="65"/>
  <c r="F20" i="65"/>
  <c r="G20" i="65"/>
  <c r="H20" i="65"/>
  <c r="I20" i="65"/>
  <c r="J20" i="65"/>
  <c r="M20" i="65"/>
  <c r="B22" i="65"/>
  <c r="C22" i="65"/>
  <c r="D22" i="65"/>
  <c r="E22" i="65"/>
  <c r="F22" i="65"/>
  <c r="G22" i="65"/>
  <c r="H22" i="65"/>
  <c r="I22" i="65"/>
  <c r="J22" i="65"/>
  <c r="M22" i="65"/>
  <c r="B24" i="65"/>
  <c r="C24" i="65"/>
  <c r="D24" i="65"/>
  <c r="E24" i="65"/>
  <c r="F24" i="65"/>
  <c r="G24" i="65"/>
  <c r="H24" i="65"/>
  <c r="I24" i="65"/>
  <c r="J24" i="65"/>
  <c r="M24" i="65"/>
  <c r="B26" i="65"/>
  <c r="C26" i="65"/>
  <c r="D26" i="65"/>
  <c r="E26" i="65"/>
  <c r="F26" i="65"/>
  <c r="G26" i="65"/>
  <c r="H26" i="65"/>
  <c r="I26" i="65"/>
  <c r="J26" i="65"/>
  <c r="M26" i="65"/>
  <c r="K28" i="65"/>
  <c r="K32" i="65"/>
  <c r="M28" i="65"/>
  <c r="L28" i="65"/>
  <c r="N28" i="65"/>
  <c r="M30" i="65"/>
  <c r="N30" i="65"/>
  <c r="B32" i="65"/>
  <c r="C32" i="65"/>
  <c r="D32" i="65"/>
  <c r="E32" i="65"/>
  <c r="F32" i="65"/>
  <c r="G32" i="65"/>
  <c r="H32" i="65"/>
  <c r="I32" i="65"/>
  <c r="J32" i="65"/>
  <c r="N32" i="65"/>
  <c r="N34" i="65"/>
  <c r="N37" i="65"/>
  <c r="B34" i="65"/>
  <c r="C34" i="65"/>
  <c r="D34" i="65"/>
  <c r="E34" i="65"/>
  <c r="F34" i="65"/>
  <c r="G34" i="65"/>
  <c r="H34" i="65"/>
  <c r="I34" i="65"/>
  <c r="J34" i="65"/>
  <c r="M36" i="65"/>
  <c r="A5" i="64"/>
  <c r="L5" i="64"/>
  <c r="B7" i="64"/>
  <c r="C7" i="64"/>
  <c r="D7" i="64"/>
  <c r="E7" i="64"/>
  <c r="F7" i="64"/>
  <c r="G7" i="64"/>
  <c r="H7" i="64"/>
  <c r="I7" i="64"/>
  <c r="J7" i="64"/>
  <c r="M7" i="64"/>
  <c r="B10" i="64"/>
  <c r="C10" i="64"/>
  <c r="D10" i="64"/>
  <c r="E10" i="64"/>
  <c r="F10" i="64"/>
  <c r="G10" i="64"/>
  <c r="H10" i="64"/>
  <c r="I10" i="64"/>
  <c r="J10" i="64"/>
  <c r="B12" i="64"/>
  <c r="C12" i="64"/>
  <c r="D12" i="64"/>
  <c r="E12" i="64"/>
  <c r="F12" i="64"/>
  <c r="G12" i="64"/>
  <c r="H12" i="64"/>
  <c r="I12" i="64"/>
  <c r="J12" i="64"/>
  <c r="M12" i="64"/>
  <c r="L12" i="64"/>
  <c r="B14" i="64"/>
  <c r="C14" i="64"/>
  <c r="D14" i="64"/>
  <c r="E14" i="64"/>
  <c r="F14" i="64"/>
  <c r="G14" i="64"/>
  <c r="H14" i="64"/>
  <c r="I14" i="64"/>
  <c r="J14" i="64"/>
  <c r="M14" i="64"/>
  <c r="B16" i="64"/>
  <c r="C16" i="64"/>
  <c r="D16" i="64"/>
  <c r="E16" i="64"/>
  <c r="F16" i="64"/>
  <c r="G16" i="64"/>
  <c r="H16" i="64"/>
  <c r="I16" i="64"/>
  <c r="J16" i="64"/>
  <c r="M16" i="64"/>
  <c r="L16" i="64"/>
  <c r="B18" i="64"/>
  <c r="C18" i="64"/>
  <c r="D18" i="64"/>
  <c r="E18" i="64"/>
  <c r="F18" i="64"/>
  <c r="G18" i="64"/>
  <c r="H18" i="64"/>
  <c r="I18" i="64"/>
  <c r="J18" i="64"/>
  <c r="M18" i="64"/>
  <c r="B20" i="64"/>
  <c r="C20" i="64"/>
  <c r="D20" i="64"/>
  <c r="E20" i="64"/>
  <c r="F20" i="64"/>
  <c r="G20" i="64"/>
  <c r="H20" i="64"/>
  <c r="I20" i="64"/>
  <c r="J20" i="64"/>
  <c r="M20" i="64"/>
  <c r="L20" i="64"/>
  <c r="B22" i="64"/>
  <c r="C22" i="64"/>
  <c r="D22" i="64"/>
  <c r="E22" i="64"/>
  <c r="F22" i="64"/>
  <c r="G22" i="64"/>
  <c r="H22" i="64"/>
  <c r="I22" i="64"/>
  <c r="J22" i="64"/>
  <c r="M22" i="64"/>
  <c r="B24" i="64"/>
  <c r="C24" i="64"/>
  <c r="D24" i="64"/>
  <c r="E24" i="64"/>
  <c r="F24" i="64"/>
  <c r="G24" i="64"/>
  <c r="H24" i="64"/>
  <c r="I24" i="64"/>
  <c r="J24" i="64"/>
  <c r="M24" i="64"/>
  <c r="L24" i="64"/>
  <c r="B26" i="64"/>
  <c r="C26" i="64"/>
  <c r="D26" i="64"/>
  <c r="E26" i="64"/>
  <c r="F26" i="64"/>
  <c r="G26" i="64"/>
  <c r="H26" i="64"/>
  <c r="I26" i="64"/>
  <c r="J26" i="64"/>
  <c r="M26" i="64"/>
  <c r="M28" i="64"/>
  <c r="K30" i="64"/>
  <c r="M30" i="64"/>
  <c r="B32" i="64"/>
  <c r="C32" i="64"/>
  <c r="D32" i="64"/>
  <c r="E32" i="64"/>
  <c r="F32" i="64"/>
  <c r="G32" i="64"/>
  <c r="H32" i="64"/>
  <c r="I32" i="64"/>
  <c r="J32" i="64"/>
  <c r="N32" i="64"/>
  <c r="B34" i="64"/>
  <c r="C34" i="64"/>
  <c r="D34" i="64"/>
  <c r="E34" i="64"/>
  <c r="F34" i="64"/>
  <c r="G34" i="64"/>
  <c r="H34" i="64"/>
  <c r="I34" i="64"/>
  <c r="J34" i="64"/>
  <c r="N34" i="64"/>
  <c r="N37" i="64"/>
  <c r="M5" i="63"/>
  <c r="A6" i="63"/>
  <c r="L6" i="63"/>
  <c r="B8" i="63"/>
  <c r="C8" i="63"/>
  <c r="D8" i="63"/>
  <c r="E8" i="63"/>
  <c r="F8" i="63"/>
  <c r="G8" i="63"/>
  <c r="H8" i="63"/>
  <c r="I8" i="63"/>
  <c r="J8" i="63"/>
  <c r="M8" i="63"/>
  <c r="B11" i="63"/>
  <c r="C11" i="63"/>
  <c r="D11" i="63"/>
  <c r="E11" i="63"/>
  <c r="F11" i="63"/>
  <c r="G11" i="63"/>
  <c r="H11" i="63"/>
  <c r="I11" i="63"/>
  <c r="J11" i="63"/>
  <c r="B13" i="63"/>
  <c r="C13" i="63"/>
  <c r="D13" i="63"/>
  <c r="E13" i="63"/>
  <c r="F13" i="63"/>
  <c r="G13" i="63"/>
  <c r="H13" i="63"/>
  <c r="I13" i="63"/>
  <c r="J13" i="63"/>
  <c r="M13" i="63"/>
  <c r="B15" i="63"/>
  <c r="C15" i="63"/>
  <c r="D15" i="63"/>
  <c r="E15" i="63"/>
  <c r="F15" i="63"/>
  <c r="G15" i="63"/>
  <c r="H15" i="63"/>
  <c r="I15" i="63"/>
  <c r="J15" i="63"/>
  <c r="M15" i="63"/>
  <c r="B17" i="63"/>
  <c r="C17" i="63"/>
  <c r="D17" i="63"/>
  <c r="E17" i="63"/>
  <c r="F17" i="63"/>
  <c r="G17" i="63"/>
  <c r="H17" i="63"/>
  <c r="I17" i="63"/>
  <c r="J17" i="63"/>
  <c r="M17" i="63"/>
  <c r="B19" i="63"/>
  <c r="C19" i="63"/>
  <c r="D19" i="63"/>
  <c r="E19" i="63"/>
  <c r="F19" i="63"/>
  <c r="G19" i="63"/>
  <c r="H19" i="63"/>
  <c r="I19" i="63"/>
  <c r="J19" i="63"/>
  <c r="M19" i="63"/>
  <c r="B21" i="63"/>
  <c r="C21" i="63"/>
  <c r="D21" i="63"/>
  <c r="E21" i="63"/>
  <c r="F21" i="63"/>
  <c r="G21" i="63"/>
  <c r="H21" i="63"/>
  <c r="I21" i="63"/>
  <c r="J21" i="63"/>
  <c r="M21" i="63"/>
  <c r="B23" i="63"/>
  <c r="C23" i="63"/>
  <c r="D23" i="63"/>
  <c r="E23" i="63"/>
  <c r="F23" i="63"/>
  <c r="G23" i="63"/>
  <c r="H23" i="63"/>
  <c r="I23" i="63"/>
  <c r="J23" i="63"/>
  <c r="M23" i="63"/>
  <c r="B25" i="63"/>
  <c r="C25" i="63"/>
  <c r="D25" i="63"/>
  <c r="E25" i="63"/>
  <c r="F25" i="63"/>
  <c r="G25" i="63"/>
  <c r="H25" i="63"/>
  <c r="I25" i="63"/>
  <c r="J25" i="63"/>
  <c r="M25" i="63"/>
  <c r="B27" i="63"/>
  <c r="C27" i="63"/>
  <c r="D27" i="63"/>
  <c r="E27" i="63"/>
  <c r="F27" i="63"/>
  <c r="G27" i="63"/>
  <c r="H27" i="63"/>
  <c r="I27" i="63"/>
  <c r="J27" i="63"/>
  <c r="M27" i="63"/>
  <c r="M29" i="63"/>
  <c r="N29" i="63"/>
  <c r="M31" i="63"/>
  <c r="N31" i="63"/>
  <c r="B33" i="63"/>
  <c r="C33" i="63"/>
  <c r="D33" i="63"/>
  <c r="E33" i="63"/>
  <c r="F33" i="63"/>
  <c r="G33" i="63"/>
  <c r="H33" i="63"/>
  <c r="I33" i="63"/>
  <c r="J33" i="63"/>
  <c r="N33" i="63"/>
  <c r="N37" i="63"/>
  <c r="N40" i="63"/>
  <c r="B37" i="63"/>
  <c r="C37" i="63"/>
  <c r="D37" i="63"/>
  <c r="E37" i="63"/>
  <c r="F37" i="63"/>
  <c r="G37" i="63"/>
  <c r="H37" i="63"/>
  <c r="I37" i="63"/>
  <c r="J37" i="63"/>
  <c r="V2" i="69"/>
  <c r="O6" i="69"/>
  <c r="V6" i="69"/>
  <c r="O7" i="69"/>
  <c r="C8" i="69"/>
  <c r="D8" i="69"/>
  <c r="D19" i="69"/>
  <c r="E8" i="69"/>
  <c r="F8" i="69"/>
  <c r="G8" i="69"/>
  <c r="H8" i="69"/>
  <c r="I8" i="69"/>
  <c r="J8" i="69"/>
  <c r="K8" i="69"/>
  <c r="L8" i="69"/>
  <c r="M8" i="69"/>
  <c r="N8" i="69"/>
  <c r="O8" i="69"/>
  <c r="P8" i="69"/>
  <c r="Q8" i="69"/>
  <c r="R8" i="69"/>
  <c r="V8" i="69"/>
  <c r="O12" i="69"/>
  <c r="V12" i="69"/>
  <c r="O13" i="69"/>
  <c r="C14" i="69"/>
  <c r="D14" i="69"/>
  <c r="E14" i="69"/>
  <c r="F14" i="69"/>
  <c r="G14" i="69"/>
  <c r="H14" i="69"/>
  <c r="I14" i="69"/>
  <c r="J14" i="69"/>
  <c r="K14" i="69"/>
  <c r="L14" i="69"/>
  <c r="M14" i="69"/>
  <c r="N14" i="69"/>
  <c r="O14" i="69"/>
  <c r="P14" i="69"/>
  <c r="Q14" i="69"/>
  <c r="R14" i="69"/>
  <c r="C17" i="69"/>
  <c r="D17" i="69"/>
  <c r="E17" i="69"/>
  <c r="F17" i="69"/>
  <c r="G17" i="69"/>
  <c r="H17" i="69"/>
  <c r="I17" i="69"/>
  <c r="J17" i="69"/>
  <c r="K17" i="69"/>
  <c r="L17" i="69"/>
  <c r="M17" i="69"/>
  <c r="N17" i="69"/>
  <c r="O17" i="69"/>
  <c r="O19" i="69"/>
  <c r="I34" i="62"/>
  <c r="P17" i="69"/>
  <c r="Q17" i="69"/>
  <c r="R17" i="69"/>
  <c r="V17" i="69"/>
  <c r="C19" i="69"/>
  <c r="E19" i="69"/>
  <c r="F19" i="69"/>
  <c r="G19" i="69"/>
  <c r="H19" i="69"/>
  <c r="I19" i="69"/>
  <c r="J19" i="69"/>
  <c r="K19" i="69"/>
  <c r="L19" i="69"/>
  <c r="M19" i="69"/>
  <c r="N19" i="69"/>
  <c r="P19" i="69"/>
  <c r="Q19" i="69"/>
  <c r="R19" i="69"/>
  <c r="V21" i="69"/>
  <c r="P22" i="69"/>
  <c r="Q22" i="69"/>
  <c r="R22" i="69"/>
  <c r="V23" i="69"/>
  <c r="N3" i="54"/>
  <c r="O3" i="54"/>
  <c r="P3" i="54"/>
  <c r="Q3" i="54"/>
  <c r="R3" i="54"/>
  <c r="G4" i="54"/>
  <c r="S4" i="54"/>
  <c r="B6" i="54"/>
  <c r="P7" i="56"/>
  <c r="O7" i="56"/>
  <c r="C6" i="54"/>
  <c r="C182" i="54"/>
  <c r="D6" i="54"/>
  <c r="E6" i="54"/>
  <c r="F6" i="54"/>
  <c r="S6" i="54"/>
  <c r="B7" i="54"/>
  <c r="C7" i="54"/>
  <c r="D7" i="54"/>
  <c r="E7" i="54"/>
  <c r="P9" i="58"/>
  <c r="F7" i="54"/>
  <c r="P7" i="68"/>
  <c r="O7" i="68"/>
  <c r="N7" i="54"/>
  <c r="O7" i="54"/>
  <c r="P7" i="54"/>
  <c r="Q7" i="54"/>
  <c r="R7" i="54"/>
  <c r="I8" i="54"/>
  <c r="N8" i="54"/>
  <c r="S8" i="54"/>
  <c r="G9" i="54"/>
  <c r="S9" i="54"/>
  <c r="G10" i="54"/>
  <c r="N10" i="54"/>
  <c r="O10" i="54"/>
  <c r="S10" i="54"/>
  <c r="G11" i="54"/>
  <c r="O11" i="54"/>
  <c r="Q11" i="54"/>
  <c r="S11" i="54"/>
  <c r="G12" i="54"/>
  <c r="S12" i="54"/>
  <c r="G13" i="54"/>
  <c r="S13" i="54"/>
  <c r="G14" i="54"/>
  <c r="S14" i="54"/>
  <c r="G15" i="54"/>
  <c r="I15" i="54"/>
  <c r="S15" i="54"/>
  <c r="G16" i="54"/>
  <c r="S16" i="54"/>
  <c r="G17" i="54"/>
  <c r="S17" i="54"/>
  <c r="G18" i="54"/>
  <c r="I18" i="54"/>
  <c r="N18" i="54"/>
  <c r="S18" i="54"/>
  <c r="Q18" i="54"/>
  <c r="R18" i="54"/>
  <c r="F19" i="54"/>
  <c r="S19" i="54"/>
  <c r="G20" i="54"/>
  <c r="N20" i="54"/>
  <c r="O20" i="54"/>
  <c r="Q20" i="54"/>
  <c r="S20" i="54"/>
  <c r="B21" i="54"/>
  <c r="C21" i="54"/>
  <c r="D21" i="54"/>
  <c r="E21" i="54"/>
  <c r="F21" i="54"/>
  <c r="P12" i="60"/>
  <c r="S21" i="54"/>
  <c r="B22" i="54"/>
  <c r="C22" i="54"/>
  <c r="P17" i="59"/>
  <c r="O17" i="59"/>
  <c r="D22" i="54"/>
  <c r="E22" i="54"/>
  <c r="F22" i="54"/>
  <c r="G22" i="54"/>
  <c r="N22" i="54"/>
  <c r="O22" i="54"/>
  <c r="P22" i="54"/>
  <c r="Q22" i="54"/>
  <c r="R22" i="54"/>
  <c r="G23" i="54"/>
  <c r="T10" i="68"/>
  <c r="T17" i="68"/>
  <c r="T114" i="68"/>
  <c r="T117" i="68"/>
  <c r="S23" i="54"/>
  <c r="B24" i="54"/>
  <c r="C24" i="54"/>
  <c r="P8" i="59"/>
  <c r="D24" i="54"/>
  <c r="S24" i="54"/>
  <c r="G25" i="54"/>
  <c r="S25" i="54"/>
  <c r="G26" i="54"/>
  <c r="S26" i="54"/>
  <c r="G27" i="54"/>
  <c r="S27" i="54"/>
  <c r="G28" i="54"/>
  <c r="O28" i="54"/>
  <c r="R28" i="54"/>
  <c r="G29" i="54"/>
  <c r="G30" i="54"/>
  <c r="F31" i="54"/>
  <c r="I33" i="54"/>
  <c r="O33" i="54"/>
  <c r="S33" i="54"/>
  <c r="G34" i="54"/>
  <c r="I34" i="54"/>
  <c r="S34" i="54"/>
  <c r="G35" i="54"/>
  <c r="I35" i="54"/>
  <c r="O35" i="54"/>
  <c r="S35" i="54"/>
  <c r="G36" i="54"/>
  <c r="S36" i="54"/>
  <c r="G37" i="54"/>
  <c r="N37" i="54"/>
  <c r="O37" i="54"/>
  <c r="P37" i="54"/>
  <c r="Q37" i="54"/>
  <c r="R37" i="54"/>
  <c r="B38" i="54"/>
  <c r="B40" i="54"/>
  <c r="C38" i="54"/>
  <c r="C40" i="54"/>
  <c r="D38" i="54"/>
  <c r="E38" i="54"/>
  <c r="F38" i="54"/>
  <c r="F40" i="54"/>
  <c r="F43" i="54"/>
  <c r="I39" i="54"/>
  <c r="N39" i="54"/>
  <c r="O39" i="54"/>
  <c r="O43" i="54"/>
  <c r="O53" i="54"/>
  <c r="P39" i="54"/>
  <c r="Q39" i="54"/>
  <c r="R39" i="54"/>
  <c r="N40" i="54"/>
  <c r="N43" i="54"/>
  <c r="N53" i="54"/>
  <c r="O40" i="54"/>
  <c r="Q40" i="54"/>
  <c r="R40" i="54"/>
  <c r="R43" i="54"/>
  <c r="S40" i="54"/>
  <c r="B41" i="54"/>
  <c r="C41" i="54"/>
  <c r="D41" i="54"/>
  <c r="E41" i="54"/>
  <c r="F41" i="54"/>
  <c r="N41" i="54"/>
  <c r="O41" i="54"/>
  <c r="P41" i="54"/>
  <c r="S41" i="54"/>
  <c r="Q41" i="54"/>
  <c r="R41" i="54"/>
  <c r="G42" i="54"/>
  <c r="S42" i="54"/>
  <c r="Q43" i="54"/>
  <c r="G44" i="54"/>
  <c r="S44" i="54"/>
  <c r="G45" i="54"/>
  <c r="S45" i="54"/>
  <c r="B46" i="54"/>
  <c r="C46" i="54"/>
  <c r="D46" i="54"/>
  <c r="F46" i="54"/>
  <c r="P28" i="68"/>
  <c r="O28" i="68"/>
  <c r="S46" i="54"/>
  <c r="P37" i="58"/>
  <c r="S47" i="54"/>
  <c r="G48" i="54"/>
  <c r="S48" i="54"/>
  <c r="G49" i="54"/>
  <c r="S49" i="54"/>
  <c r="E50" i="54"/>
  <c r="G50" i="54"/>
  <c r="Q50" i="54"/>
  <c r="G51" i="54"/>
  <c r="S51" i="54"/>
  <c r="O52" i="54"/>
  <c r="S52" i="54"/>
  <c r="R53" i="54"/>
  <c r="I54" i="54"/>
  <c r="G55" i="54"/>
  <c r="I55" i="54"/>
  <c r="B56" i="54"/>
  <c r="P42" i="56"/>
  <c r="O42" i="56"/>
  <c r="C56" i="54"/>
  <c r="D56" i="54"/>
  <c r="E56" i="54"/>
  <c r="F56" i="54"/>
  <c r="N56" i="54"/>
  <c r="S56" i="54"/>
  <c r="B57" i="54"/>
  <c r="C57" i="54"/>
  <c r="D57" i="54"/>
  <c r="E57" i="54"/>
  <c r="F57" i="54"/>
  <c r="I57" i="54"/>
  <c r="N57" i="54"/>
  <c r="O57" i="54"/>
  <c r="P57" i="54"/>
  <c r="Q57" i="54"/>
  <c r="Q70" i="54"/>
  <c r="R57" i="54"/>
  <c r="G58" i="54"/>
  <c r="N58" i="54"/>
  <c r="S58" i="54"/>
  <c r="O58" i="54"/>
  <c r="O70" i="54"/>
  <c r="P58" i="54"/>
  <c r="Q58" i="54"/>
  <c r="R58" i="54"/>
  <c r="G59" i="54"/>
  <c r="I59" i="54"/>
  <c r="N59" i="54"/>
  <c r="S59" i="54"/>
  <c r="O59" i="54"/>
  <c r="P59" i="54"/>
  <c r="Q59" i="54"/>
  <c r="R59" i="54"/>
  <c r="G60" i="54"/>
  <c r="S60" i="54"/>
  <c r="G61" i="54"/>
  <c r="S61" i="54"/>
  <c r="G62" i="54"/>
  <c r="S62" i="54"/>
  <c r="G63" i="54"/>
  <c r="S63" i="54"/>
  <c r="G64" i="54"/>
  <c r="S64" i="54"/>
  <c r="G65" i="54"/>
  <c r="G67" i="54"/>
  <c r="S65" i="54"/>
  <c r="G66" i="54"/>
  <c r="S66" i="54"/>
  <c r="B67" i="54"/>
  <c r="C67" i="54"/>
  <c r="S67" i="54"/>
  <c r="S68" i="54"/>
  <c r="S69" i="54"/>
  <c r="F70" i="54"/>
  <c r="P70" i="54"/>
  <c r="B71" i="54"/>
  <c r="C71" i="54"/>
  <c r="D71" i="54"/>
  <c r="E71" i="54"/>
  <c r="B72" i="54"/>
  <c r="C72" i="54"/>
  <c r="D72" i="54"/>
  <c r="E72" i="54"/>
  <c r="F73" i="54"/>
  <c r="I73" i="54"/>
  <c r="R73" i="54"/>
  <c r="S73" i="54"/>
  <c r="G74" i="54"/>
  <c r="N74" i="54"/>
  <c r="N83" i="54"/>
  <c r="O74" i="54"/>
  <c r="P74" i="54"/>
  <c r="Q74" i="54"/>
  <c r="G75" i="54"/>
  <c r="N75" i="54"/>
  <c r="O75" i="54"/>
  <c r="P75" i="54"/>
  <c r="Q75" i="54"/>
  <c r="G76" i="54"/>
  <c r="N76" i="54"/>
  <c r="O76" i="54"/>
  <c r="P76" i="54"/>
  <c r="Q76" i="54"/>
  <c r="Q83" i="54"/>
  <c r="G77" i="54"/>
  <c r="R77" i="54"/>
  <c r="S77" i="54"/>
  <c r="G78" i="54"/>
  <c r="O78" i="54"/>
  <c r="S78" i="54"/>
  <c r="E79" i="54"/>
  <c r="O79" i="54"/>
  <c r="S79" i="54"/>
  <c r="Q79" i="54"/>
  <c r="S80" i="54"/>
  <c r="P81" i="54"/>
  <c r="S82" i="54"/>
  <c r="G83" i="54"/>
  <c r="G84" i="54"/>
  <c r="G85" i="54"/>
  <c r="G87" i="54"/>
  <c r="S87" i="54"/>
  <c r="G88" i="54"/>
  <c r="N88" i="54"/>
  <c r="O88" i="54"/>
  <c r="P88" i="54"/>
  <c r="Q88" i="54"/>
  <c r="R88" i="54"/>
  <c r="G89" i="54"/>
  <c r="N89" i="54"/>
  <c r="N99" i="54"/>
  <c r="O89" i="54"/>
  <c r="P89" i="54"/>
  <c r="Q89" i="54"/>
  <c r="R89" i="54"/>
  <c r="G90" i="54"/>
  <c r="N90" i="54"/>
  <c r="O90" i="54"/>
  <c r="P90" i="54"/>
  <c r="Q90" i="54"/>
  <c r="R90" i="54"/>
  <c r="G91" i="54"/>
  <c r="N91" i="54"/>
  <c r="O91" i="54"/>
  <c r="P91" i="54"/>
  <c r="Q91" i="54"/>
  <c r="R91" i="54"/>
  <c r="G92" i="54"/>
  <c r="S92" i="54"/>
  <c r="G93" i="54"/>
  <c r="S93" i="54"/>
  <c r="B94" i="54"/>
  <c r="C94" i="54"/>
  <c r="D94" i="54"/>
  <c r="E94" i="54"/>
  <c r="F94" i="54"/>
  <c r="P56" i="68"/>
  <c r="S94" i="54"/>
  <c r="I95" i="54"/>
  <c r="S95" i="54"/>
  <c r="S96" i="54"/>
  <c r="G97" i="54"/>
  <c r="S97" i="54"/>
  <c r="G98" i="54"/>
  <c r="I98" i="54"/>
  <c r="N98" i="54"/>
  <c r="O98" i="54"/>
  <c r="P98" i="54"/>
  <c r="Q98" i="54"/>
  <c r="R98" i="54"/>
  <c r="B99" i="54"/>
  <c r="I99" i="54"/>
  <c r="R99" i="54"/>
  <c r="D100" i="54"/>
  <c r="E100" i="54"/>
  <c r="E106" i="54"/>
  <c r="F100" i="54"/>
  <c r="G100" i="54"/>
  <c r="G101" i="54"/>
  <c r="I101" i="54"/>
  <c r="G102" i="54"/>
  <c r="I102" i="54"/>
  <c r="N102" i="54"/>
  <c r="N104" i="54"/>
  <c r="S102" i="54"/>
  <c r="I103" i="54"/>
  <c r="S103" i="54"/>
  <c r="G104" i="54"/>
  <c r="O104" i="54"/>
  <c r="P104" i="54"/>
  <c r="P112" i="54"/>
  <c r="Q104" i="54"/>
  <c r="R104" i="54"/>
  <c r="G105" i="54"/>
  <c r="N105" i="54"/>
  <c r="O105" i="54"/>
  <c r="P105" i="54"/>
  <c r="Q105" i="54"/>
  <c r="Q112" i="54"/>
  <c r="R105" i="54"/>
  <c r="R112" i="54"/>
  <c r="C106" i="54"/>
  <c r="D106" i="54"/>
  <c r="N106" i="54"/>
  <c r="O106" i="54"/>
  <c r="P106" i="54"/>
  <c r="Q106" i="54"/>
  <c r="R106" i="54"/>
  <c r="S106" i="54"/>
  <c r="S107" i="54"/>
  <c r="S108" i="54"/>
  <c r="G109" i="54"/>
  <c r="N109" i="54"/>
  <c r="S109" i="54"/>
  <c r="G110" i="54"/>
  <c r="S110" i="54"/>
  <c r="G111" i="54"/>
  <c r="S111" i="54"/>
  <c r="G112" i="54"/>
  <c r="N112" i="54"/>
  <c r="G113" i="54"/>
  <c r="G114" i="54"/>
  <c r="G115" i="54"/>
  <c r="G120" i="54"/>
  <c r="N115" i="54"/>
  <c r="N117" i="54"/>
  <c r="O115" i="54"/>
  <c r="P115" i="54"/>
  <c r="P117" i="54"/>
  <c r="Q115" i="54"/>
  <c r="G116" i="54"/>
  <c r="S116" i="54"/>
  <c r="G117" i="54"/>
  <c r="O117" i="54"/>
  <c r="R117" i="54"/>
  <c r="R128" i="54"/>
  <c r="G118" i="54"/>
  <c r="G119" i="54"/>
  <c r="N119" i="54"/>
  <c r="O119" i="54"/>
  <c r="R119" i="54"/>
  <c r="B120" i="54"/>
  <c r="C120" i="54"/>
  <c r="D120" i="54"/>
  <c r="E120" i="54"/>
  <c r="F120" i="54"/>
  <c r="P77" i="68"/>
  <c r="S121" i="54"/>
  <c r="I122" i="54"/>
  <c r="S122" i="54"/>
  <c r="S123" i="54"/>
  <c r="G124" i="54"/>
  <c r="S124" i="54"/>
  <c r="G125" i="54"/>
  <c r="S125" i="54"/>
  <c r="G126" i="54"/>
  <c r="I126" i="54"/>
  <c r="S126" i="54"/>
  <c r="G127" i="54"/>
  <c r="I127" i="54"/>
  <c r="I138" i="54"/>
  <c r="S127" i="54"/>
  <c r="G128" i="54"/>
  <c r="O128" i="54"/>
  <c r="G129" i="54"/>
  <c r="G130" i="54"/>
  <c r="G131" i="54"/>
  <c r="S131" i="54"/>
  <c r="G132" i="54"/>
  <c r="N132" i="54"/>
  <c r="O132" i="54"/>
  <c r="P132" i="54"/>
  <c r="Q132" i="54"/>
  <c r="R132" i="54"/>
  <c r="E133" i="54"/>
  <c r="N133" i="54"/>
  <c r="O133" i="54"/>
  <c r="P133" i="54"/>
  <c r="S133" i="54"/>
  <c r="Q133" i="54"/>
  <c r="R133" i="54"/>
  <c r="G134" i="54"/>
  <c r="G135" i="54"/>
  <c r="N134" i="54"/>
  <c r="O134" i="54"/>
  <c r="P134" i="54"/>
  <c r="Q134" i="54"/>
  <c r="R134" i="54"/>
  <c r="R146" i="54"/>
  <c r="B135" i="54"/>
  <c r="C135" i="54"/>
  <c r="D135" i="54"/>
  <c r="F135" i="54"/>
  <c r="S135" i="54"/>
  <c r="S137" i="54"/>
  <c r="G138" i="54"/>
  <c r="S138" i="54"/>
  <c r="B139" i="54"/>
  <c r="C139" i="54"/>
  <c r="C143" i="54"/>
  <c r="D139" i="54"/>
  <c r="E139" i="54"/>
  <c r="F139" i="54"/>
  <c r="O139" i="54"/>
  <c r="O146" i="54"/>
  <c r="B140" i="54"/>
  <c r="C140" i="54"/>
  <c r="D140" i="54"/>
  <c r="G140" i="54"/>
  <c r="E140" i="54"/>
  <c r="F140" i="54"/>
  <c r="S140" i="54"/>
  <c r="G141" i="54"/>
  <c r="S141" i="54"/>
  <c r="G142" i="54"/>
  <c r="S142" i="54"/>
  <c r="B143" i="54"/>
  <c r="E143" i="54"/>
  <c r="F143" i="54"/>
  <c r="S143" i="54"/>
  <c r="S144" i="54"/>
  <c r="S145" i="54"/>
  <c r="G146" i="54"/>
  <c r="P146" i="54"/>
  <c r="G147" i="54"/>
  <c r="G148" i="54"/>
  <c r="F149" i="54"/>
  <c r="G149" i="54"/>
  <c r="S149" i="54"/>
  <c r="G150" i="54"/>
  <c r="N150" i="54"/>
  <c r="O150" i="54"/>
  <c r="O155" i="54"/>
  <c r="P150" i="54"/>
  <c r="Q150" i="54"/>
  <c r="R150" i="54"/>
  <c r="G151" i="54"/>
  <c r="N151" i="54"/>
  <c r="O151" i="54"/>
  <c r="P151" i="54"/>
  <c r="Q151" i="54"/>
  <c r="Q155" i="54"/>
  <c r="R151" i="54"/>
  <c r="G152" i="54"/>
  <c r="S152" i="54"/>
  <c r="B153" i="54"/>
  <c r="C153" i="54"/>
  <c r="D153" i="54"/>
  <c r="E153" i="54"/>
  <c r="F153" i="54"/>
  <c r="P105" i="68"/>
  <c r="N153" i="54"/>
  <c r="O153" i="54"/>
  <c r="P153" i="54"/>
  <c r="Q153" i="54"/>
  <c r="R153" i="54"/>
  <c r="S154" i="54"/>
  <c r="R155" i="54"/>
  <c r="G156" i="54"/>
  <c r="G157" i="54"/>
  <c r="G158" i="54"/>
  <c r="S158" i="54"/>
  <c r="G159" i="54"/>
  <c r="I159" i="54"/>
  <c r="S159" i="54"/>
  <c r="G160" i="54"/>
  <c r="S160" i="54"/>
  <c r="B161" i="54"/>
  <c r="C161" i="54"/>
  <c r="D161" i="54"/>
  <c r="E161" i="54"/>
  <c r="F161" i="54"/>
  <c r="G161" i="54"/>
  <c r="R161" i="54"/>
  <c r="S161" i="54"/>
  <c r="S162" i="54"/>
  <c r="S165" i="54"/>
  <c r="G163" i="54"/>
  <c r="S163" i="54"/>
  <c r="S164" i="54"/>
  <c r="B165" i="54"/>
  <c r="C165" i="54"/>
  <c r="D165" i="54"/>
  <c r="D182" i="54"/>
  <c r="E165" i="54"/>
  <c r="E182" i="54"/>
  <c r="F165" i="54"/>
  <c r="N165" i="54"/>
  <c r="O165" i="54"/>
  <c r="P165" i="54"/>
  <c r="Q165" i="54"/>
  <c r="R165" i="54"/>
  <c r="S167" i="54"/>
  <c r="G171" i="54"/>
  <c r="G172" i="54"/>
  <c r="G173" i="54"/>
  <c r="S173" i="54"/>
  <c r="G174" i="54"/>
  <c r="S174" i="54"/>
  <c r="B175" i="54"/>
  <c r="C175" i="54"/>
  <c r="D175" i="54"/>
  <c r="E175" i="54"/>
  <c r="F175" i="54"/>
  <c r="S175" i="54"/>
  <c r="S176" i="54"/>
  <c r="G178" i="54"/>
  <c r="N179" i="54"/>
  <c r="O179" i="54"/>
  <c r="P179" i="54"/>
  <c r="Q179" i="54"/>
  <c r="R179" i="54"/>
  <c r="S179" i="54"/>
  <c r="B182" i="54"/>
  <c r="N6" i="60"/>
  <c r="P6" i="60"/>
  <c r="N7" i="60"/>
  <c r="P7" i="60"/>
  <c r="N8" i="60"/>
  <c r="P8" i="60"/>
  <c r="N9" i="60"/>
  <c r="P9" i="60"/>
  <c r="N10" i="60"/>
  <c r="P10" i="60"/>
  <c r="B11" i="60"/>
  <c r="B12" i="60"/>
  <c r="N12" i="60"/>
  <c r="N13" i="60"/>
  <c r="N14" i="60"/>
  <c r="P14" i="60"/>
  <c r="N15" i="60"/>
  <c r="P15" i="60"/>
  <c r="N16" i="60"/>
  <c r="P16" i="60"/>
  <c r="C17" i="60"/>
  <c r="D17" i="60"/>
  <c r="E17" i="60"/>
  <c r="F17" i="60"/>
  <c r="G17" i="60"/>
  <c r="H17" i="60"/>
  <c r="I17" i="60"/>
  <c r="J17" i="60"/>
  <c r="K17" i="60"/>
  <c r="L17" i="60"/>
  <c r="M17" i="60"/>
  <c r="Q17" i="60"/>
  <c r="N21" i="60"/>
  <c r="P21" i="60"/>
  <c r="N22" i="60"/>
  <c r="P22" i="60"/>
  <c r="N24" i="60"/>
  <c r="P24" i="60"/>
  <c r="B25" i="60"/>
  <c r="B33" i="60"/>
  <c r="D25" i="60"/>
  <c r="D33" i="60"/>
  <c r="E25" i="60"/>
  <c r="E33" i="60"/>
  <c r="F25" i="60"/>
  <c r="F33" i="60"/>
  <c r="G25" i="60"/>
  <c r="G33" i="60"/>
  <c r="H25" i="60"/>
  <c r="H33" i="60"/>
  <c r="I25" i="60"/>
  <c r="I33" i="60"/>
  <c r="J25" i="60"/>
  <c r="J33" i="60"/>
  <c r="K25" i="60"/>
  <c r="K33" i="60"/>
  <c r="L25" i="60"/>
  <c r="L33" i="60"/>
  <c r="M25" i="60"/>
  <c r="M33" i="60"/>
  <c r="Q25" i="60"/>
  <c r="Q33" i="60"/>
  <c r="N27" i="60"/>
  <c r="P27" i="60"/>
  <c r="N28" i="60"/>
  <c r="P28" i="60"/>
  <c r="N29" i="60"/>
  <c r="P29" i="60"/>
  <c r="N30" i="60"/>
  <c r="P30" i="60"/>
  <c r="N31" i="60"/>
  <c r="P31" i="60"/>
  <c r="N32" i="60"/>
  <c r="P32" i="60"/>
  <c r="N36" i="60"/>
  <c r="P36" i="60"/>
  <c r="N37" i="60"/>
  <c r="Q37" i="60"/>
  <c r="Q41" i="60"/>
  <c r="N38" i="60"/>
  <c r="P38" i="60"/>
  <c r="N39" i="60"/>
  <c r="P39" i="60"/>
  <c r="N40" i="60"/>
  <c r="P40" i="60"/>
  <c r="B41" i="60"/>
  <c r="C41" i="60"/>
  <c r="D41" i="60"/>
  <c r="E41" i="60"/>
  <c r="F41" i="60"/>
  <c r="G41" i="60"/>
  <c r="H41" i="60"/>
  <c r="I41" i="60"/>
  <c r="J41" i="60"/>
  <c r="K41" i="60"/>
  <c r="L41" i="60"/>
  <c r="M41" i="60"/>
  <c r="N44" i="60"/>
  <c r="P44" i="60"/>
  <c r="B45" i="60"/>
  <c r="N45" i="60"/>
  <c r="P45" i="60"/>
  <c r="C46" i="60"/>
  <c r="D46" i="60"/>
  <c r="E46" i="60"/>
  <c r="F46" i="60"/>
  <c r="G46" i="60"/>
  <c r="H46" i="60"/>
  <c r="I46" i="60"/>
  <c r="J46" i="60"/>
  <c r="K46" i="60"/>
  <c r="L46" i="60"/>
  <c r="M46" i="60"/>
  <c r="Q46" i="60"/>
  <c r="B49" i="60"/>
  <c r="B59" i="60"/>
  <c r="P49" i="60"/>
  <c r="N50" i="60"/>
  <c r="P50" i="60"/>
  <c r="N51" i="60"/>
  <c r="P51" i="60"/>
  <c r="Q51" i="60"/>
  <c r="N52" i="60"/>
  <c r="J88" i="54"/>
  <c r="P52" i="60"/>
  <c r="N53" i="60"/>
  <c r="O53" i="60"/>
  <c r="P53" i="60"/>
  <c r="N54" i="60"/>
  <c r="P54" i="60"/>
  <c r="N55" i="60"/>
  <c r="P55" i="60"/>
  <c r="N56" i="60"/>
  <c r="P56" i="60"/>
  <c r="N57" i="60"/>
  <c r="P57" i="60"/>
  <c r="N58" i="60"/>
  <c r="P58" i="60"/>
  <c r="C59" i="60"/>
  <c r="D59" i="60"/>
  <c r="E59" i="60"/>
  <c r="F59" i="60"/>
  <c r="G59" i="60"/>
  <c r="H59" i="60"/>
  <c r="I59" i="60"/>
  <c r="J59" i="60"/>
  <c r="K59" i="60"/>
  <c r="L59" i="60"/>
  <c r="M59" i="60"/>
  <c r="Q59" i="60"/>
  <c r="B62" i="60"/>
  <c r="B69" i="60"/>
  <c r="P62" i="60"/>
  <c r="N63" i="60"/>
  <c r="P63" i="60"/>
  <c r="N64" i="60"/>
  <c r="R64" i="60"/>
  <c r="Q64" i="60"/>
  <c r="P65" i="60"/>
  <c r="N66" i="60"/>
  <c r="P66" i="60"/>
  <c r="N67" i="60"/>
  <c r="P67" i="60"/>
  <c r="N68" i="60"/>
  <c r="P68" i="60"/>
  <c r="D69" i="60"/>
  <c r="E69" i="60"/>
  <c r="F69" i="60"/>
  <c r="G69" i="60"/>
  <c r="H69" i="60"/>
  <c r="I69" i="60"/>
  <c r="J69" i="60"/>
  <c r="K69" i="60"/>
  <c r="L69" i="60"/>
  <c r="M69" i="60"/>
  <c r="Q69" i="60"/>
  <c r="N72" i="60"/>
  <c r="P72" i="60"/>
  <c r="N73" i="60"/>
  <c r="P73" i="60"/>
  <c r="N74" i="60"/>
  <c r="P74" i="60"/>
  <c r="Q74" i="60"/>
  <c r="Q82" i="60"/>
  <c r="N75" i="60"/>
  <c r="N76" i="60"/>
  <c r="P76" i="60"/>
  <c r="N77" i="60"/>
  <c r="P77" i="60"/>
  <c r="N78" i="60"/>
  <c r="P78" i="60"/>
  <c r="O78" i="60"/>
  <c r="N79" i="60"/>
  <c r="P79" i="60"/>
  <c r="N80" i="60"/>
  <c r="P80" i="60"/>
  <c r="N81" i="60"/>
  <c r="P81" i="60"/>
  <c r="B82" i="60"/>
  <c r="C82" i="60"/>
  <c r="D82" i="60"/>
  <c r="E82" i="60"/>
  <c r="F82" i="60"/>
  <c r="G82" i="60"/>
  <c r="H82" i="60"/>
  <c r="I82" i="60"/>
  <c r="J82" i="60"/>
  <c r="K82" i="60"/>
  <c r="L82" i="60"/>
  <c r="M82" i="60"/>
  <c r="N85" i="60"/>
  <c r="P85" i="60"/>
  <c r="N86" i="60"/>
  <c r="P86" i="60"/>
  <c r="Q86" i="60"/>
  <c r="Q95" i="60"/>
  <c r="N87" i="60"/>
  <c r="P87" i="60"/>
  <c r="N88" i="60"/>
  <c r="P88" i="60"/>
  <c r="N89" i="60"/>
  <c r="P89" i="60"/>
  <c r="N90" i="60"/>
  <c r="P90" i="60"/>
  <c r="N91" i="60"/>
  <c r="P91" i="60"/>
  <c r="N92" i="60"/>
  <c r="P92" i="60"/>
  <c r="N93" i="60"/>
  <c r="P93" i="60"/>
  <c r="N94" i="60"/>
  <c r="P94" i="60"/>
  <c r="B95" i="60"/>
  <c r="C95" i="60"/>
  <c r="D95" i="60"/>
  <c r="E95" i="60"/>
  <c r="F95" i="60"/>
  <c r="G95" i="60"/>
  <c r="H95" i="60"/>
  <c r="I95" i="60"/>
  <c r="J95" i="60"/>
  <c r="K95" i="60"/>
  <c r="L95" i="60"/>
  <c r="M95" i="60"/>
  <c r="N98" i="60"/>
  <c r="P98" i="60"/>
  <c r="N99" i="60"/>
  <c r="P99" i="60"/>
  <c r="Q99" i="60"/>
  <c r="Q102" i="60"/>
  <c r="N100" i="60"/>
  <c r="P100" i="60"/>
  <c r="N101" i="60"/>
  <c r="P101" i="60"/>
  <c r="B102" i="60"/>
  <c r="C102" i="60"/>
  <c r="D102" i="60"/>
  <c r="E102" i="60"/>
  <c r="F102" i="60"/>
  <c r="G102" i="60"/>
  <c r="H102" i="60"/>
  <c r="I102" i="60"/>
  <c r="J102" i="60"/>
  <c r="K102" i="60"/>
  <c r="L102" i="60"/>
  <c r="M102" i="60"/>
  <c r="N105" i="60"/>
  <c r="P105" i="60"/>
  <c r="N106" i="60"/>
  <c r="P106" i="60"/>
  <c r="N107" i="60"/>
  <c r="P107" i="60"/>
  <c r="N108" i="60"/>
  <c r="P108" i="60"/>
  <c r="N109" i="60"/>
  <c r="P109" i="60"/>
  <c r="N110" i="60"/>
  <c r="P110" i="60"/>
  <c r="N111" i="60"/>
  <c r="P111" i="60"/>
  <c r="B112" i="60"/>
  <c r="C112" i="60"/>
  <c r="D112" i="60"/>
  <c r="E112" i="60"/>
  <c r="F112" i="60"/>
  <c r="G112" i="60"/>
  <c r="H112" i="60"/>
  <c r="I112" i="60"/>
  <c r="J112" i="60"/>
  <c r="K112" i="60"/>
  <c r="L112" i="60"/>
  <c r="M112" i="60"/>
  <c r="Q112" i="60"/>
  <c r="N115" i="60"/>
  <c r="P115" i="60"/>
  <c r="N116" i="60"/>
  <c r="P116" i="60"/>
  <c r="N117" i="60"/>
  <c r="P117" i="60"/>
  <c r="B118" i="60"/>
  <c r="C118" i="60"/>
  <c r="D118" i="60"/>
  <c r="E118" i="60"/>
  <c r="F118" i="60"/>
  <c r="G118" i="60"/>
  <c r="H118" i="60"/>
  <c r="I118" i="60"/>
  <c r="J118" i="60"/>
  <c r="K118" i="60"/>
  <c r="L118" i="60"/>
  <c r="M118" i="60"/>
  <c r="Q118" i="60"/>
  <c r="N120" i="60"/>
  <c r="N125" i="60"/>
  <c r="P125" i="60"/>
  <c r="N7" i="56"/>
  <c r="N8" i="56"/>
  <c r="N9" i="56"/>
  <c r="P9" i="56"/>
  <c r="N10" i="56"/>
  <c r="P10" i="56"/>
  <c r="N11" i="56"/>
  <c r="O11" i="56"/>
  <c r="P11" i="56"/>
  <c r="N12" i="56"/>
  <c r="P12" i="56"/>
  <c r="O12" i="56"/>
  <c r="N13" i="56"/>
  <c r="O13" i="56"/>
  <c r="P13" i="56"/>
  <c r="N14" i="56"/>
  <c r="P14" i="56"/>
  <c r="B15" i="56"/>
  <c r="N15" i="56"/>
  <c r="O15" i="56"/>
  <c r="P15" i="56"/>
  <c r="N16" i="56"/>
  <c r="P16" i="56"/>
  <c r="O16" i="56"/>
  <c r="N17" i="56"/>
  <c r="P17" i="56"/>
  <c r="O17" i="56"/>
  <c r="N18" i="56"/>
  <c r="P18" i="56"/>
  <c r="B19" i="56"/>
  <c r="N19" i="56"/>
  <c r="P19" i="56"/>
  <c r="N20" i="56"/>
  <c r="P20" i="56"/>
  <c r="N21" i="56"/>
  <c r="P21" i="56"/>
  <c r="N22" i="56"/>
  <c r="P22" i="56"/>
  <c r="B23" i="56"/>
  <c r="C23" i="56"/>
  <c r="D23" i="56"/>
  <c r="E23" i="56"/>
  <c r="F23" i="56"/>
  <c r="G23" i="56"/>
  <c r="H23" i="56"/>
  <c r="I23" i="56"/>
  <c r="J23" i="56"/>
  <c r="K23" i="56"/>
  <c r="L23" i="56"/>
  <c r="M23" i="56"/>
  <c r="Q23" i="56"/>
  <c r="B27" i="56"/>
  <c r="N27" i="56"/>
  <c r="P27" i="56"/>
  <c r="O27" i="56"/>
  <c r="N28" i="56"/>
  <c r="O28" i="56"/>
  <c r="P28" i="56"/>
  <c r="N30" i="56"/>
  <c r="P30" i="56"/>
  <c r="O30" i="56"/>
  <c r="B31" i="56"/>
  <c r="C31" i="56"/>
  <c r="C38" i="56"/>
  <c r="D31" i="56"/>
  <c r="E31" i="56"/>
  <c r="F31" i="56"/>
  <c r="G31" i="56"/>
  <c r="H31" i="56"/>
  <c r="I31" i="56"/>
  <c r="J31" i="56"/>
  <c r="K31" i="56"/>
  <c r="L31" i="56"/>
  <c r="M31" i="56"/>
  <c r="Q31" i="56"/>
  <c r="B32" i="56"/>
  <c r="N32" i="56"/>
  <c r="N33" i="56"/>
  <c r="P33" i="56"/>
  <c r="O33" i="56"/>
  <c r="N34" i="56"/>
  <c r="N35" i="56"/>
  <c r="N36" i="56"/>
  <c r="P36" i="56"/>
  <c r="O36" i="56"/>
  <c r="N37" i="56"/>
  <c r="P37" i="56"/>
  <c r="O37" i="56"/>
  <c r="B38" i="56"/>
  <c r="D38" i="56"/>
  <c r="E38" i="56"/>
  <c r="F38" i="56"/>
  <c r="G38" i="56"/>
  <c r="H38" i="56"/>
  <c r="I38" i="56"/>
  <c r="J38" i="56"/>
  <c r="K38" i="56"/>
  <c r="L38" i="56"/>
  <c r="M38" i="56"/>
  <c r="Q38" i="56"/>
  <c r="N41" i="56"/>
  <c r="P41" i="56"/>
  <c r="O41" i="56"/>
  <c r="Q41" i="56"/>
  <c r="N42" i="56"/>
  <c r="Q42" i="56"/>
  <c r="N43" i="56"/>
  <c r="P43" i="56"/>
  <c r="O43" i="56"/>
  <c r="N44" i="56"/>
  <c r="P44" i="56"/>
  <c r="O44" i="56"/>
  <c r="N45" i="56"/>
  <c r="P45" i="56"/>
  <c r="O45" i="56"/>
  <c r="N46" i="56"/>
  <c r="P46" i="56"/>
  <c r="O46" i="56"/>
  <c r="N47" i="56"/>
  <c r="P47" i="56"/>
  <c r="O47" i="56"/>
  <c r="N48" i="56"/>
  <c r="P48" i="56"/>
  <c r="O48" i="56"/>
  <c r="B49" i="56"/>
  <c r="C49" i="56"/>
  <c r="D49" i="56"/>
  <c r="E49" i="56"/>
  <c r="F49" i="56"/>
  <c r="G49" i="56"/>
  <c r="H49" i="56"/>
  <c r="I49" i="56"/>
  <c r="J49" i="56"/>
  <c r="K49" i="56"/>
  <c r="L49" i="56"/>
  <c r="M49" i="56"/>
  <c r="Q49" i="56"/>
  <c r="N52" i="56"/>
  <c r="P52" i="56"/>
  <c r="N53" i="56"/>
  <c r="Q53" i="56"/>
  <c r="N54" i="56"/>
  <c r="P54" i="56"/>
  <c r="O54" i="56"/>
  <c r="N55" i="56"/>
  <c r="P55" i="56"/>
  <c r="N56" i="56"/>
  <c r="P56" i="56"/>
  <c r="O56" i="56"/>
  <c r="B57" i="56"/>
  <c r="N57" i="56"/>
  <c r="P57" i="56"/>
  <c r="O57" i="56"/>
  <c r="N58" i="56"/>
  <c r="P58" i="56"/>
  <c r="O58" i="56"/>
  <c r="B59" i="56"/>
  <c r="C59" i="56"/>
  <c r="C135" i="56"/>
  <c r="D59" i="56"/>
  <c r="E59" i="56"/>
  <c r="F59" i="56"/>
  <c r="G59" i="56"/>
  <c r="H59" i="56"/>
  <c r="I59" i="56"/>
  <c r="J59" i="56"/>
  <c r="K59" i="56"/>
  <c r="L59" i="56"/>
  <c r="M59" i="56"/>
  <c r="Q59" i="56"/>
  <c r="N62" i="56"/>
  <c r="P62" i="56"/>
  <c r="O62" i="56"/>
  <c r="N63" i="56"/>
  <c r="P63" i="56"/>
  <c r="O63" i="56"/>
  <c r="N64" i="56"/>
  <c r="P64" i="56"/>
  <c r="O64" i="56"/>
  <c r="Q64" i="56"/>
  <c r="N65" i="56"/>
  <c r="P65" i="56"/>
  <c r="O65" i="56"/>
  <c r="N66" i="56"/>
  <c r="P66" i="56"/>
  <c r="O66" i="56"/>
  <c r="N67" i="56"/>
  <c r="P67" i="56"/>
  <c r="O67" i="56"/>
  <c r="N68" i="56"/>
  <c r="P68" i="56"/>
  <c r="O68" i="56"/>
  <c r="N69" i="56"/>
  <c r="P69" i="56"/>
  <c r="O69" i="56"/>
  <c r="B70" i="56"/>
  <c r="N70" i="56"/>
  <c r="P70" i="56"/>
  <c r="O70" i="56"/>
  <c r="N71" i="56"/>
  <c r="P71" i="56"/>
  <c r="O71" i="56"/>
  <c r="B72" i="56"/>
  <c r="C72" i="56"/>
  <c r="D72" i="56"/>
  <c r="E72" i="56"/>
  <c r="F72" i="56"/>
  <c r="G72" i="56"/>
  <c r="H72" i="56"/>
  <c r="I72" i="56"/>
  <c r="J72" i="56"/>
  <c r="K72" i="56"/>
  <c r="L72" i="56"/>
  <c r="M72" i="56"/>
  <c r="Q72" i="56"/>
  <c r="N75" i="56"/>
  <c r="P75" i="56"/>
  <c r="O75" i="56"/>
  <c r="Q75" i="56"/>
  <c r="N76" i="56"/>
  <c r="P76" i="56"/>
  <c r="O76" i="56"/>
  <c r="N77" i="56"/>
  <c r="P77" i="56"/>
  <c r="O77" i="56"/>
  <c r="Q77" i="56"/>
  <c r="N78" i="56"/>
  <c r="P78" i="56"/>
  <c r="O78" i="56"/>
  <c r="N79" i="56"/>
  <c r="N80" i="56"/>
  <c r="O80" i="56"/>
  <c r="P80" i="56"/>
  <c r="N81" i="56"/>
  <c r="P81" i="56"/>
  <c r="O81" i="56"/>
  <c r="B82" i="56"/>
  <c r="C82" i="56"/>
  <c r="D82" i="56"/>
  <c r="E82" i="56"/>
  <c r="F82" i="56"/>
  <c r="G82" i="56"/>
  <c r="H82" i="56"/>
  <c r="I82" i="56"/>
  <c r="J82" i="56"/>
  <c r="K82" i="56"/>
  <c r="L82" i="56"/>
  <c r="M82" i="56"/>
  <c r="Q82" i="56"/>
  <c r="N85" i="56"/>
  <c r="P85" i="56"/>
  <c r="O85" i="56"/>
  <c r="N86" i="56"/>
  <c r="P86" i="56"/>
  <c r="O86" i="56"/>
  <c r="N87" i="56"/>
  <c r="P87" i="56"/>
  <c r="O87" i="56"/>
  <c r="Q87" i="56"/>
  <c r="N88" i="56"/>
  <c r="P88" i="56"/>
  <c r="O88" i="56"/>
  <c r="N89" i="56"/>
  <c r="P89" i="56"/>
  <c r="O89" i="56"/>
  <c r="N90" i="56"/>
  <c r="P90" i="56"/>
  <c r="O90" i="56"/>
  <c r="N91" i="56"/>
  <c r="P91" i="56"/>
  <c r="O91" i="56"/>
  <c r="N92" i="56"/>
  <c r="P92" i="56"/>
  <c r="O92" i="56"/>
  <c r="N93" i="56"/>
  <c r="P93" i="56"/>
  <c r="O93" i="56"/>
  <c r="B94" i="56"/>
  <c r="C94" i="56"/>
  <c r="D94" i="56"/>
  <c r="E94" i="56"/>
  <c r="F94" i="56"/>
  <c r="G94" i="56"/>
  <c r="H94" i="56"/>
  <c r="I94" i="56"/>
  <c r="J94" i="56"/>
  <c r="K94" i="56"/>
  <c r="L94" i="56"/>
  <c r="M94" i="56"/>
  <c r="Q94" i="56"/>
  <c r="N97" i="56"/>
  <c r="P97" i="56"/>
  <c r="O97" i="56"/>
  <c r="N98" i="56"/>
  <c r="P98" i="56"/>
  <c r="O98" i="56"/>
  <c r="Q98" i="56"/>
  <c r="N99" i="56"/>
  <c r="P99" i="56"/>
  <c r="O99" i="56"/>
  <c r="N100" i="56"/>
  <c r="P100" i="56"/>
  <c r="O100" i="56"/>
  <c r="N101" i="56"/>
  <c r="P101" i="56"/>
  <c r="O101" i="56"/>
  <c r="N102" i="56"/>
  <c r="P102" i="56"/>
  <c r="O102" i="56"/>
  <c r="N103" i="56"/>
  <c r="P103" i="56"/>
  <c r="O103" i="56"/>
  <c r="N104" i="56"/>
  <c r="P104" i="56"/>
  <c r="N105" i="56"/>
  <c r="P105" i="56"/>
  <c r="O105" i="56"/>
  <c r="N106" i="56"/>
  <c r="P106" i="56"/>
  <c r="O106" i="56"/>
  <c r="B107" i="56"/>
  <c r="C107" i="56"/>
  <c r="D107" i="56"/>
  <c r="E107" i="56"/>
  <c r="F107" i="56"/>
  <c r="G107" i="56"/>
  <c r="H107" i="56"/>
  <c r="I107" i="56"/>
  <c r="J107" i="56"/>
  <c r="K107" i="56"/>
  <c r="L107" i="56"/>
  <c r="M107" i="56"/>
  <c r="Q107" i="56"/>
  <c r="N110" i="56"/>
  <c r="P110" i="56"/>
  <c r="O110" i="56"/>
  <c r="N111" i="56"/>
  <c r="P111" i="56"/>
  <c r="Q111" i="56"/>
  <c r="N112" i="56"/>
  <c r="P112" i="56"/>
  <c r="O112" i="56"/>
  <c r="N113" i="56"/>
  <c r="P113" i="56"/>
  <c r="O113" i="56"/>
  <c r="B114" i="56"/>
  <c r="C114" i="56"/>
  <c r="D114" i="56"/>
  <c r="E114" i="56"/>
  <c r="F114" i="56"/>
  <c r="G114" i="56"/>
  <c r="H114" i="56"/>
  <c r="I114" i="56"/>
  <c r="J114" i="56"/>
  <c r="K114" i="56"/>
  <c r="L114" i="56"/>
  <c r="M114" i="56"/>
  <c r="Q114" i="56"/>
  <c r="N116" i="56"/>
  <c r="N117" i="56"/>
  <c r="P117" i="56"/>
  <c r="O117" i="56"/>
  <c r="N118" i="56"/>
  <c r="P118" i="56"/>
  <c r="O118" i="56"/>
  <c r="N119" i="56"/>
  <c r="P119" i="56"/>
  <c r="O119" i="56"/>
  <c r="N120" i="56"/>
  <c r="O120" i="56"/>
  <c r="P120" i="56"/>
  <c r="N121" i="56"/>
  <c r="P121" i="56"/>
  <c r="N122" i="56"/>
  <c r="P122" i="56"/>
  <c r="O122" i="56"/>
  <c r="N123" i="56"/>
  <c r="O123" i="56"/>
  <c r="P123" i="56"/>
  <c r="B124" i="56"/>
  <c r="C124" i="56"/>
  <c r="D124" i="56"/>
  <c r="E124" i="56"/>
  <c r="F124" i="56"/>
  <c r="G124" i="56"/>
  <c r="H124" i="56"/>
  <c r="I124" i="56"/>
  <c r="J124" i="56"/>
  <c r="K124" i="56"/>
  <c r="L124" i="56"/>
  <c r="M124" i="56"/>
  <c r="Q124" i="56"/>
  <c r="N127" i="56"/>
  <c r="O127" i="56"/>
  <c r="P127" i="56"/>
  <c r="N128" i="56"/>
  <c r="P128" i="56"/>
  <c r="O128" i="56"/>
  <c r="N129" i="56"/>
  <c r="P129" i="56"/>
  <c r="B130" i="56"/>
  <c r="C130" i="56"/>
  <c r="D130" i="56"/>
  <c r="E130" i="56"/>
  <c r="F130" i="56"/>
  <c r="G130" i="56"/>
  <c r="H130" i="56"/>
  <c r="I130" i="56"/>
  <c r="J130" i="56"/>
  <c r="K130" i="56"/>
  <c r="L130" i="56"/>
  <c r="M130" i="56"/>
  <c r="Q130" i="56"/>
  <c r="U130" i="56"/>
  <c r="V130" i="56"/>
  <c r="N132" i="56"/>
  <c r="P134" i="56"/>
  <c r="B135" i="56"/>
  <c r="Q135" i="56"/>
  <c r="P137" i="56"/>
  <c r="O137" i="56"/>
  <c r="P138" i="56"/>
  <c r="O138" i="56"/>
  <c r="B139" i="56"/>
  <c r="D139" i="56"/>
  <c r="D140" i="56"/>
  <c r="E139" i="56"/>
  <c r="G139" i="56"/>
  <c r="H139" i="56"/>
  <c r="H140" i="56"/>
  <c r="I139" i="56"/>
  <c r="K139" i="56"/>
  <c r="K149" i="56"/>
  <c r="K151" i="56"/>
  <c r="L139" i="56"/>
  <c r="L140" i="56"/>
  <c r="M139" i="56"/>
  <c r="Q139" i="56"/>
  <c r="B140" i="56"/>
  <c r="E140" i="56"/>
  <c r="G140" i="56"/>
  <c r="I140" i="56"/>
  <c r="K140" i="56"/>
  <c r="M140" i="56"/>
  <c r="Q140" i="56"/>
  <c r="Q141" i="56"/>
  <c r="Q142" i="56"/>
  <c r="N6" i="58"/>
  <c r="P6" i="58"/>
  <c r="O6" i="58"/>
  <c r="N7" i="58"/>
  <c r="P7" i="58"/>
  <c r="N8" i="58"/>
  <c r="N24" i="58"/>
  <c r="P8" i="58"/>
  <c r="O8" i="58"/>
  <c r="N9" i="58"/>
  <c r="O9" i="58"/>
  <c r="N10" i="58"/>
  <c r="P10" i="58"/>
  <c r="N11" i="58"/>
  <c r="O11" i="58"/>
  <c r="P11" i="58"/>
  <c r="N12" i="58"/>
  <c r="P12" i="58"/>
  <c r="O12" i="58"/>
  <c r="N13" i="58"/>
  <c r="P13" i="58"/>
  <c r="O13" i="58"/>
  <c r="N14" i="58"/>
  <c r="O14" i="58"/>
  <c r="P14" i="58"/>
  <c r="N15" i="58"/>
  <c r="P15" i="58"/>
  <c r="N16" i="58"/>
  <c r="P16" i="58"/>
  <c r="O16" i="58"/>
  <c r="N17" i="58"/>
  <c r="P17" i="58"/>
  <c r="N18" i="58"/>
  <c r="N19" i="58"/>
  <c r="P19" i="58"/>
  <c r="N20" i="58"/>
  <c r="P20" i="58"/>
  <c r="N21" i="58"/>
  <c r="P21" i="58"/>
  <c r="N22" i="58"/>
  <c r="O22" i="58"/>
  <c r="P22" i="58"/>
  <c r="N23" i="58"/>
  <c r="O23" i="58"/>
  <c r="B24" i="58"/>
  <c r="C24" i="58"/>
  <c r="D24" i="58"/>
  <c r="E24" i="58"/>
  <c r="F24" i="58"/>
  <c r="G24" i="58"/>
  <c r="H24" i="58"/>
  <c r="I24" i="58"/>
  <c r="J24" i="58"/>
  <c r="K24" i="58"/>
  <c r="L24" i="58"/>
  <c r="M24" i="58"/>
  <c r="Q24" i="58"/>
  <c r="N29" i="58"/>
  <c r="P29" i="58"/>
  <c r="O29" i="58"/>
  <c r="N30" i="58"/>
  <c r="P30" i="58"/>
  <c r="P33" i="58"/>
  <c r="N32" i="58"/>
  <c r="P32" i="58"/>
  <c r="O32" i="58"/>
  <c r="B33" i="58"/>
  <c r="C33" i="58"/>
  <c r="C41" i="58"/>
  <c r="D33" i="58"/>
  <c r="E33" i="58"/>
  <c r="F33" i="58"/>
  <c r="G33" i="58"/>
  <c r="H33" i="58"/>
  <c r="I33" i="58"/>
  <c r="J33" i="58"/>
  <c r="K33" i="58"/>
  <c r="L33" i="58"/>
  <c r="M33" i="58"/>
  <c r="Q33" i="58"/>
  <c r="N34" i="58"/>
  <c r="N35" i="58"/>
  <c r="P35" i="58"/>
  <c r="O35" i="58"/>
  <c r="N36" i="58"/>
  <c r="P36" i="58"/>
  <c r="O36" i="58"/>
  <c r="N37" i="58"/>
  <c r="O37" i="58"/>
  <c r="N38" i="58"/>
  <c r="P38" i="58"/>
  <c r="O38" i="58"/>
  <c r="P39" i="58"/>
  <c r="N40" i="58"/>
  <c r="P40" i="58"/>
  <c r="O40" i="58"/>
  <c r="B41" i="58"/>
  <c r="D41" i="58"/>
  <c r="E41" i="58"/>
  <c r="F41" i="58"/>
  <c r="G41" i="58"/>
  <c r="H41" i="58"/>
  <c r="I41" i="58"/>
  <c r="J41" i="58"/>
  <c r="K41" i="58"/>
  <c r="L41" i="58"/>
  <c r="M41" i="58"/>
  <c r="Q41" i="58"/>
  <c r="N44" i="58"/>
  <c r="P44" i="58"/>
  <c r="O44" i="58"/>
  <c r="N45" i="58"/>
  <c r="Q45" i="58"/>
  <c r="N46" i="58"/>
  <c r="N47" i="58"/>
  <c r="P47" i="58"/>
  <c r="O47" i="58"/>
  <c r="N48" i="58"/>
  <c r="P48" i="58"/>
  <c r="O48" i="58"/>
  <c r="N49" i="58"/>
  <c r="P49" i="58"/>
  <c r="O49" i="58"/>
  <c r="N50" i="58"/>
  <c r="P50" i="58"/>
  <c r="B51" i="58"/>
  <c r="C51" i="58"/>
  <c r="D51" i="58"/>
  <c r="E51" i="58"/>
  <c r="F51" i="58"/>
  <c r="G51" i="58"/>
  <c r="H51" i="58"/>
  <c r="I51" i="58"/>
  <c r="J51" i="58"/>
  <c r="K51" i="58"/>
  <c r="L51" i="58"/>
  <c r="M51" i="58"/>
  <c r="Q51" i="58"/>
  <c r="N54" i="58"/>
  <c r="P54" i="58"/>
  <c r="P59" i="58"/>
  <c r="O59" i="58"/>
  <c r="O54" i="58"/>
  <c r="N55" i="58"/>
  <c r="P55" i="58"/>
  <c r="O55" i="58"/>
  <c r="Q55" i="58"/>
  <c r="N56" i="58"/>
  <c r="P56" i="58"/>
  <c r="O56" i="58"/>
  <c r="N57" i="58"/>
  <c r="P57" i="58"/>
  <c r="O57" i="58"/>
  <c r="B58" i="58"/>
  <c r="N58" i="58"/>
  <c r="P58" i="58"/>
  <c r="O58" i="58"/>
  <c r="B59" i="58"/>
  <c r="C59" i="58"/>
  <c r="D59" i="58"/>
  <c r="E59" i="58"/>
  <c r="F59" i="58"/>
  <c r="G59" i="58"/>
  <c r="H59" i="58"/>
  <c r="I59" i="58"/>
  <c r="J59" i="58"/>
  <c r="K59" i="58"/>
  <c r="L59" i="58"/>
  <c r="M59" i="58"/>
  <c r="Q59" i="58"/>
  <c r="N62" i="58"/>
  <c r="P62" i="58"/>
  <c r="N63" i="58"/>
  <c r="P63" i="58"/>
  <c r="O63" i="58"/>
  <c r="N64" i="58"/>
  <c r="P64" i="58"/>
  <c r="O64" i="58"/>
  <c r="Q64" i="58"/>
  <c r="N65" i="58"/>
  <c r="P65" i="58"/>
  <c r="O65" i="58"/>
  <c r="N66" i="58"/>
  <c r="P66" i="58"/>
  <c r="O66" i="58"/>
  <c r="N67" i="58"/>
  <c r="P67" i="58"/>
  <c r="O67" i="58"/>
  <c r="N68" i="58"/>
  <c r="P68" i="58"/>
  <c r="O68" i="58"/>
  <c r="N69" i="58"/>
  <c r="P69" i="58"/>
  <c r="O69" i="58"/>
  <c r="N70" i="58"/>
  <c r="P70" i="58"/>
  <c r="O70" i="58"/>
  <c r="B71" i="58"/>
  <c r="N71" i="58"/>
  <c r="P71" i="58"/>
  <c r="O71" i="58"/>
  <c r="B72" i="58"/>
  <c r="C72" i="58"/>
  <c r="D72" i="58"/>
  <c r="E72" i="58"/>
  <c r="F72" i="58"/>
  <c r="G72" i="58"/>
  <c r="H72" i="58"/>
  <c r="I72" i="58"/>
  <c r="J72" i="58"/>
  <c r="K72" i="58"/>
  <c r="L72" i="58"/>
  <c r="M72" i="58"/>
  <c r="Q72" i="58"/>
  <c r="N75" i="58"/>
  <c r="P75" i="58"/>
  <c r="N76" i="58"/>
  <c r="P76" i="58"/>
  <c r="O76" i="58"/>
  <c r="N77" i="58"/>
  <c r="P77" i="58"/>
  <c r="Q77" i="58"/>
  <c r="N78" i="58"/>
  <c r="P78" i="58"/>
  <c r="O78" i="58"/>
  <c r="N79" i="58"/>
  <c r="P79" i="58"/>
  <c r="O79" i="58"/>
  <c r="B80" i="58"/>
  <c r="C80" i="58"/>
  <c r="D80" i="58"/>
  <c r="E80" i="58"/>
  <c r="F80" i="58"/>
  <c r="G80" i="58"/>
  <c r="H80" i="58"/>
  <c r="I80" i="58"/>
  <c r="J80" i="58"/>
  <c r="K80" i="58"/>
  <c r="L80" i="58"/>
  <c r="M80" i="58"/>
  <c r="Q80" i="58"/>
  <c r="N83" i="58"/>
  <c r="P83" i="58"/>
  <c r="O83" i="58"/>
  <c r="N84" i="58"/>
  <c r="P84" i="58"/>
  <c r="O84" i="58"/>
  <c r="N85" i="58"/>
  <c r="P85" i="58"/>
  <c r="O85" i="58"/>
  <c r="Q85" i="58"/>
  <c r="N86" i="58"/>
  <c r="N87" i="58"/>
  <c r="P87" i="58"/>
  <c r="O87" i="58"/>
  <c r="N88" i="58"/>
  <c r="P88" i="58"/>
  <c r="O88" i="58"/>
  <c r="N89" i="58"/>
  <c r="P89" i="58"/>
  <c r="O89" i="58"/>
  <c r="N90" i="58"/>
  <c r="P90" i="58"/>
  <c r="O90" i="58"/>
  <c r="N91" i="58"/>
  <c r="P91" i="58"/>
  <c r="O91" i="58"/>
  <c r="N92" i="58"/>
  <c r="P92" i="58"/>
  <c r="O92" i="58"/>
  <c r="B93" i="58"/>
  <c r="C93" i="58"/>
  <c r="D93" i="58"/>
  <c r="E93" i="58"/>
  <c r="F93" i="58"/>
  <c r="G93" i="58"/>
  <c r="H93" i="58"/>
  <c r="I93" i="58"/>
  <c r="J93" i="58"/>
  <c r="K93" i="58"/>
  <c r="L93" i="58"/>
  <c r="M93" i="58"/>
  <c r="Q93" i="58"/>
  <c r="N96" i="58"/>
  <c r="P96" i="58"/>
  <c r="O96" i="58"/>
  <c r="N97" i="58"/>
  <c r="P97" i="58"/>
  <c r="O97" i="58"/>
  <c r="Q97" i="58"/>
  <c r="N98" i="58"/>
  <c r="P98" i="58"/>
  <c r="O98" i="58"/>
  <c r="N99" i="58"/>
  <c r="P99" i="58"/>
  <c r="O99" i="58"/>
  <c r="N100" i="58"/>
  <c r="P100" i="58"/>
  <c r="O100" i="58"/>
  <c r="N101" i="58"/>
  <c r="P101" i="58"/>
  <c r="O101" i="58"/>
  <c r="N102" i="58"/>
  <c r="P102" i="58"/>
  <c r="O102" i="58"/>
  <c r="P103" i="58"/>
  <c r="N104" i="58"/>
  <c r="N105" i="58"/>
  <c r="P105" i="58"/>
  <c r="O105" i="58"/>
  <c r="B106" i="58"/>
  <c r="C106" i="58"/>
  <c r="D106" i="58"/>
  <c r="E106" i="58"/>
  <c r="F106" i="58"/>
  <c r="G106" i="58"/>
  <c r="H106" i="58"/>
  <c r="I106" i="58"/>
  <c r="J106" i="58"/>
  <c r="K106" i="58"/>
  <c r="L106" i="58"/>
  <c r="M106" i="58"/>
  <c r="Q106" i="58"/>
  <c r="N109" i="58"/>
  <c r="P109" i="58"/>
  <c r="N110" i="58"/>
  <c r="P110" i="58"/>
  <c r="Q110" i="58"/>
  <c r="N111" i="58"/>
  <c r="P111" i="58"/>
  <c r="O111" i="58"/>
  <c r="N112" i="58"/>
  <c r="P112" i="58"/>
  <c r="B113" i="58"/>
  <c r="C113" i="58"/>
  <c r="D113" i="58"/>
  <c r="E113" i="58"/>
  <c r="F113" i="58"/>
  <c r="G113" i="58"/>
  <c r="H113" i="58"/>
  <c r="I113" i="58"/>
  <c r="J113" i="58"/>
  <c r="K113" i="58"/>
  <c r="L113" i="58"/>
  <c r="M113" i="58"/>
  <c r="Q113" i="58"/>
  <c r="N116" i="58"/>
  <c r="P116" i="58"/>
  <c r="O116" i="58"/>
  <c r="N117" i="58"/>
  <c r="P117" i="58"/>
  <c r="O117" i="58"/>
  <c r="N118" i="58"/>
  <c r="P118" i="58"/>
  <c r="N119" i="58"/>
  <c r="P119" i="58"/>
  <c r="O119" i="58"/>
  <c r="N120" i="58"/>
  <c r="P120" i="58"/>
  <c r="N121" i="58"/>
  <c r="P121" i="58"/>
  <c r="O121" i="58"/>
  <c r="N122" i="58"/>
  <c r="P122" i="58"/>
  <c r="O122" i="58"/>
  <c r="B123" i="58"/>
  <c r="C123" i="58"/>
  <c r="D123" i="58"/>
  <c r="E123" i="58"/>
  <c r="F123" i="58"/>
  <c r="G123" i="58"/>
  <c r="H123" i="58"/>
  <c r="I123" i="58"/>
  <c r="J123" i="58"/>
  <c r="K123" i="58"/>
  <c r="L123" i="58"/>
  <c r="M123" i="58"/>
  <c r="Q123" i="58"/>
  <c r="N126" i="58"/>
  <c r="P126" i="58"/>
  <c r="O126" i="58"/>
  <c r="N127" i="58"/>
  <c r="P127" i="58"/>
  <c r="N128" i="58"/>
  <c r="P128" i="58"/>
  <c r="O128" i="58"/>
  <c r="B129" i="58"/>
  <c r="C129" i="58"/>
  <c r="D129" i="58"/>
  <c r="E129" i="58"/>
  <c r="F129" i="58"/>
  <c r="G129" i="58"/>
  <c r="H129" i="58"/>
  <c r="I129" i="58"/>
  <c r="J129" i="58"/>
  <c r="K129" i="58"/>
  <c r="L129" i="58"/>
  <c r="M129" i="58"/>
  <c r="Q129" i="58"/>
  <c r="N131" i="58"/>
  <c r="K28" i="64"/>
  <c r="K32" i="64"/>
  <c r="L28" i="64"/>
  <c r="P131" i="58"/>
  <c r="B133" i="58"/>
  <c r="Q133" i="58"/>
  <c r="P135" i="58"/>
  <c r="P136" i="58"/>
  <c r="P137" i="58"/>
  <c r="P150" i="58"/>
  <c r="B138" i="58"/>
  <c r="B140" i="58"/>
  <c r="Q138" i="58"/>
  <c r="D140" i="58"/>
  <c r="E140" i="58"/>
  <c r="L140" i="58"/>
  <c r="Q140" i="58"/>
  <c r="Q142" i="58"/>
  <c r="Q143" i="58"/>
  <c r="Q146" i="58"/>
  <c r="Q147" i="58"/>
  <c r="Q148" i="58"/>
  <c r="Q149" i="58"/>
  <c r="Q150" i="58"/>
  <c r="Q151" i="58"/>
  <c r="N6" i="59"/>
  <c r="N7" i="59"/>
  <c r="P7" i="59"/>
  <c r="N8" i="59"/>
  <c r="N9" i="59"/>
  <c r="P9" i="59"/>
  <c r="O9" i="59"/>
  <c r="N10" i="59"/>
  <c r="P10" i="59"/>
  <c r="O10" i="59"/>
  <c r="N11" i="59"/>
  <c r="P11" i="59"/>
  <c r="O11" i="59"/>
  <c r="N12" i="59"/>
  <c r="P12" i="59"/>
  <c r="O12" i="59"/>
  <c r="N13" i="59"/>
  <c r="O13" i="59"/>
  <c r="P13" i="59"/>
  <c r="N14" i="59"/>
  <c r="P14" i="59"/>
  <c r="N15" i="59"/>
  <c r="P15" i="59"/>
  <c r="O15" i="59"/>
  <c r="N16" i="59"/>
  <c r="P16" i="59"/>
  <c r="O16" i="59"/>
  <c r="N17" i="59"/>
  <c r="N18" i="59"/>
  <c r="P18" i="59"/>
  <c r="N19" i="59"/>
  <c r="O19" i="59"/>
  <c r="P19" i="59"/>
  <c r="N20" i="59"/>
  <c r="P20" i="59"/>
  <c r="N21" i="59"/>
  <c r="P21" i="59"/>
  <c r="B22" i="59"/>
  <c r="C22" i="59"/>
  <c r="D22" i="59"/>
  <c r="E22" i="59"/>
  <c r="F22" i="59"/>
  <c r="G22" i="59"/>
  <c r="H22" i="59"/>
  <c r="I22" i="59"/>
  <c r="J22" i="59"/>
  <c r="K22" i="59"/>
  <c r="L22" i="59"/>
  <c r="M22" i="59"/>
  <c r="Q22" i="59"/>
  <c r="B27" i="59"/>
  <c r="N27" i="59"/>
  <c r="P27" i="59"/>
  <c r="O27" i="59"/>
  <c r="N28" i="59"/>
  <c r="P28" i="59"/>
  <c r="O28" i="59"/>
  <c r="N30" i="59"/>
  <c r="P30" i="59"/>
  <c r="O30" i="59"/>
  <c r="B31" i="59"/>
  <c r="C31" i="59"/>
  <c r="D31" i="59"/>
  <c r="E31" i="59"/>
  <c r="F31" i="59"/>
  <c r="G31" i="59"/>
  <c r="H31" i="59"/>
  <c r="I31" i="59"/>
  <c r="J31" i="59"/>
  <c r="K31" i="59"/>
  <c r="L31" i="59"/>
  <c r="M31" i="59"/>
  <c r="Q31" i="59"/>
  <c r="B32" i="59"/>
  <c r="N32" i="59"/>
  <c r="N33" i="59"/>
  <c r="P33" i="59"/>
  <c r="O33" i="59"/>
  <c r="N34" i="59"/>
  <c r="P34" i="59"/>
  <c r="O34" i="59"/>
  <c r="B35" i="59"/>
  <c r="N35" i="59"/>
  <c r="P35" i="59"/>
  <c r="O35" i="59"/>
  <c r="N36" i="59"/>
  <c r="P36" i="59"/>
  <c r="O36" i="59"/>
  <c r="N37" i="59"/>
  <c r="P37" i="59"/>
  <c r="O37" i="59"/>
  <c r="N38" i="59"/>
  <c r="P38" i="59"/>
  <c r="O38" i="59"/>
  <c r="B39" i="59"/>
  <c r="C39" i="59"/>
  <c r="C134" i="59"/>
  <c r="C139" i="59"/>
  <c r="D39" i="59"/>
  <c r="E39" i="59"/>
  <c r="F39" i="59"/>
  <c r="G39" i="59"/>
  <c r="H39" i="59"/>
  <c r="I39" i="59"/>
  <c r="J39" i="59"/>
  <c r="K39" i="59"/>
  <c r="L39" i="59"/>
  <c r="M39" i="59"/>
  <c r="Q39" i="59"/>
  <c r="N42" i="59"/>
  <c r="P42" i="59"/>
  <c r="O42" i="59"/>
  <c r="N43" i="59"/>
  <c r="P43" i="59"/>
  <c r="O43" i="59"/>
  <c r="Q43" i="59"/>
  <c r="N44" i="59"/>
  <c r="P44" i="59"/>
  <c r="O44" i="59"/>
  <c r="N45" i="59"/>
  <c r="P45" i="59"/>
  <c r="O45" i="59"/>
  <c r="N46" i="59"/>
  <c r="P46" i="59"/>
  <c r="O46" i="59"/>
  <c r="N47" i="59"/>
  <c r="P47" i="59"/>
  <c r="N48" i="59"/>
  <c r="P48" i="59"/>
  <c r="O48" i="59"/>
  <c r="B49" i="59"/>
  <c r="C49" i="59"/>
  <c r="D49" i="59"/>
  <c r="E49" i="59"/>
  <c r="F49" i="59"/>
  <c r="G49" i="59"/>
  <c r="H49" i="59"/>
  <c r="I49" i="59"/>
  <c r="J49" i="59"/>
  <c r="K49" i="59"/>
  <c r="L49" i="59"/>
  <c r="M49" i="59"/>
  <c r="Q49" i="59"/>
  <c r="N52" i="59"/>
  <c r="P52" i="59"/>
  <c r="O52" i="59"/>
  <c r="N53" i="59"/>
  <c r="P53" i="59"/>
  <c r="Q53" i="59"/>
  <c r="B54" i="59"/>
  <c r="N54" i="59"/>
  <c r="P54" i="59"/>
  <c r="N55" i="59"/>
  <c r="P55" i="59"/>
  <c r="O55" i="59"/>
  <c r="N56" i="59"/>
  <c r="P56" i="59"/>
  <c r="O56" i="59"/>
  <c r="B57" i="59"/>
  <c r="N57" i="59"/>
  <c r="P57" i="59"/>
  <c r="O57" i="59"/>
  <c r="N58" i="59"/>
  <c r="P58" i="59"/>
  <c r="O58" i="59"/>
  <c r="B59" i="59"/>
  <c r="C59" i="59"/>
  <c r="D59" i="59"/>
  <c r="E59" i="59"/>
  <c r="F59" i="59"/>
  <c r="G59" i="59"/>
  <c r="H59" i="59"/>
  <c r="I59" i="59"/>
  <c r="J59" i="59"/>
  <c r="K59" i="59"/>
  <c r="L59" i="59"/>
  <c r="M59" i="59"/>
  <c r="Q59" i="59"/>
  <c r="N62" i="59"/>
  <c r="P62" i="59"/>
  <c r="N63" i="59"/>
  <c r="P63" i="59"/>
  <c r="O63" i="59"/>
  <c r="N64" i="59"/>
  <c r="P64" i="59"/>
  <c r="O64" i="59"/>
  <c r="Q64" i="59"/>
  <c r="N65" i="59"/>
  <c r="P65" i="59"/>
  <c r="O65" i="59"/>
  <c r="N66" i="59"/>
  <c r="P66" i="59"/>
  <c r="O66" i="59"/>
  <c r="N67" i="59"/>
  <c r="P67" i="59"/>
  <c r="O67" i="59"/>
  <c r="N68" i="59"/>
  <c r="P68" i="59"/>
  <c r="O68" i="59"/>
  <c r="N69" i="59"/>
  <c r="P69" i="59"/>
  <c r="O69" i="59"/>
  <c r="B70" i="59"/>
  <c r="N70" i="59"/>
  <c r="P70" i="59"/>
  <c r="O70" i="59"/>
  <c r="N71" i="59"/>
  <c r="P71" i="59"/>
  <c r="O71" i="59"/>
  <c r="B72" i="59"/>
  <c r="C72" i="59"/>
  <c r="D72" i="59"/>
  <c r="E72" i="59"/>
  <c r="F72" i="59"/>
  <c r="G72" i="59"/>
  <c r="H72" i="59"/>
  <c r="I72" i="59"/>
  <c r="J72" i="59"/>
  <c r="K72" i="59"/>
  <c r="L72" i="59"/>
  <c r="M72" i="59"/>
  <c r="Q72" i="59"/>
  <c r="N75" i="59"/>
  <c r="P75" i="59"/>
  <c r="O75" i="59"/>
  <c r="N76" i="59"/>
  <c r="P76" i="59"/>
  <c r="O76" i="59"/>
  <c r="N77" i="59"/>
  <c r="P77" i="59"/>
  <c r="O77" i="59"/>
  <c r="Q77" i="59"/>
  <c r="N78" i="59"/>
  <c r="P78" i="59"/>
  <c r="O78" i="59"/>
  <c r="N79" i="59"/>
  <c r="P79" i="59"/>
  <c r="O79" i="59"/>
  <c r="N80" i="59"/>
  <c r="P80" i="59"/>
  <c r="O80" i="59"/>
  <c r="B81" i="59"/>
  <c r="C81" i="59"/>
  <c r="D81" i="59"/>
  <c r="E81" i="59"/>
  <c r="F81" i="59"/>
  <c r="G81" i="59"/>
  <c r="H81" i="59"/>
  <c r="I81" i="59"/>
  <c r="J81" i="59"/>
  <c r="K81" i="59"/>
  <c r="L81" i="59"/>
  <c r="M81" i="59"/>
  <c r="Q81" i="59"/>
  <c r="N84" i="59"/>
  <c r="P84" i="59"/>
  <c r="O84" i="59"/>
  <c r="N85" i="59"/>
  <c r="P85" i="59"/>
  <c r="O85" i="59"/>
  <c r="N86" i="59"/>
  <c r="P86" i="59"/>
  <c r="O86" i="59"/>
  <c r="Q86" i="59"/>
  <c r="N87" i="59"/>
  <c r="P87" i="59"/>
  <c r="O87" i="59"/>
  <c r="N88" i="59"/>
  <c r="P88" i="59"/>
  <c r="O88" i="59"/>
  <c r="N89" i="59"/>
  <c r="P89" i="59"/>
  <c r="O89" i="59"/>
  <c r="N90" i="59"/>
  <c r="P90" i="59"/>
  <c r="O90" i="59"/>
  <c r="N91" i="59"/>
  <c r="P91" i="59"/>
  <c r="O91" i="59"/>
  <c r="N92" i="59"/>
  <c r="P92" i="59"/>
  <c r="O92" i="59"/>
  <c r="B93" i="59"/>
  <c r="C93" i="59"/>
  <c r="D93" i="59"/>
  <c r="E93" i="59"/>
  <c r="F93" i="59"/>
  <c r="G93" i="59"/>
  <c r="H93" i="59"/>
  <c r="I93" i="59"/>
  <c r="J93" i="59"/>
  <c r="K93" i="59"/>
  <c r="L93" i="59"/>
  <c r="M93" i="59"/>
  <c r="Q93" i="59"/>
  <c r="N96" i="59"/>
  <c r="P96" i="59"/>
  <c r="N97" i="59"/>
  <c r="P97" i="59"/>
  <c r="O97" i="59"/>
  <c r="Q97" i="59"/>
  <c r="N98" i="59"/>
  <c r="P98" i="59"/>
  <c r="O98" i="59"/>
  <c r="N99" i="59"/>
  <c r="P99" i="59"/>
  <c r="O99" i="59"/>
  <c r="N100" i="59"/>
  <c r="P100" i="59"/>
  <c r="O100" i="59"/>
  <c r="N101" i="59"/>
  <c r="P101" i="59"/>
  <c r="O101" i="59"/>
  <c r="N102" i="59"/>
  <c r="P102" i="59"/>
  <c r="O102" i="59"/>
  <c r="N103" i="59"/>
  <c r="P103" i="59"/>
  <c r="N104" i="59"/>
  <c r="P104" i="59"/>
  <c r="O104" i="59"/>
  <c r="N105" i="59"/>
  <c r="P105" i="59"/>
  <c r="O105" i="59"/>
  <c r="B106" i="59"/>
  <c r="C106" i="59"/>
  <c r="D106" i="59"/>
  <c r="E106" i="59"/>
  <c r="F106" i="59"/>
  <c r="G106" i="59"/>
  <c r="H106" i="59"/>
  <c r="I106" i="59"/>
  <c r="J106" i="59"/>
  <c r="K106" i="59"/>
  <c r="L106" i="59"/>
  <c r="M106" i="59"/>
  <c r="Q106" i="59"/>
  <c r="N109" i="59"/>
  <c r="P109" i="59"/>
  <c r="O109" i="59"/>
  <c r="N110" i="59"/>
  <c r="N113" i="59"/>
  <c r="P110" i="59"/>
  <c r="Q110" i="59"/>
  <c r="N111" i="59"/>
  <c r="O111" i="59"/>
  <c r="P111" i="59"/>
  <c r="N112" i="59"/>
  <c r="P112" i="59"/>
  <c r="O112" i="59"/>
  <c r="B113" i="59"/>
  <c r="C113" i="59"/>
  <c r="D113" i="59"/>
  <c r="E113" i="59"/>
  <c r="F113" i="59"/>
  <c r="G113" i="59"/>
  <c r="H113" i="59"/>
  <c r="I113" i="59"/>
  <c r="J113" i="59"/>
  <c r="K113" i="59"/>
  <c r="L113" i="59"/>
  <c r="M113" i="59"/>
  <c r="Q113" i="59"/>
  <c r="N116" i="59"/>
  <c r="P116" i="59"/>
  <c r="N117" i="59"/>
  <c r="P117" i="59"/>
  <c r="O117" i="59"/>
  <c r="N118" i="59"/>
  <c r="P118" i="59"/>
  <c r="O118" i="59"/>
  <c r="N119" i="59"/>
  <c r="P119" i="59"/>
  <c r="O119" i="59"/>
  <c r="N120" i="59"/>
  <c r="P120" i="59"/>
  <c r="O120" i="59"/>
  <c r="N121" i="59"/>
  <c r="P121" i="59"/>
  <c r="O121" i="59"/>
  <c r="N122" i="59"/>
  <c r="P122" i="59"/>
  <c r="O122" i="59"/>
  <c r="B123" i="59"/>
  <c r="C123" i="59"/>
  <c r="D123" i="59"/>
  <c r="E123" i="59"/>
  <c r="F123" i="59"/>
  <c r="G123" i="59"/>
  <c r="H123" i="59"/>
  <c r="I123" i="59"/>
  <c r="J123" i="59"/>
  <c r="K123" i="59"/>
  <c r="L123" i="59"/>
  <c r="M123" i="59"/>
  <c r="Q123" i="59"/>
  <c r="N126" i="59"/>
  <c r="N129" i="59"/>
  <c r="P126" i="59"/>
  <c r="O126" i="59"/>
  <c r="N127" i="59"/>
  <c r="P127" i="59"/>
  <c r="O127" i="59"/>
  <c r="N128" i="59"/>
  <c r="P128" i="59"/>
  <c r="O128" i="59"/>
  <c r="B129" i="59"/>
  <c r="C129" i="59"/>
  <c r="D129" i="59"/>
  <c r="E129" i="59"/>
  <c r="F129" i="59"/>
  <c r="G129" i="59"/>
  <c r="H129" i="59"/>
  <c r="I129" i="59"/>
  <c r="J129" i="59"/>
  <c r="K129" i="59"/>
  <c r="L129" i="59"/>
  <c r="M129" i="59"/>
  <c r="Q129" i="59"/>
  <c r="P131" i="59"/>
  <c r="O131" i="59"/>
  <c r="N133" i="59"/>
  <c r="K31" i="65"/>
  <c r="P133" i="59"/>
  <c r="Q134" i="59"/>
  <c r="N136" i="59"/>
  <c r="K30" i="65"/>
  <c r="P136" i="59"/>
  <c r="N137" i="59"/>
  <c r="P137" i="59"/>
  <c r="N138" i="59"/>
  <c r="P138" i="59"/>
  <c r="D139" i="59"/>
  <c r="E139" i="59"/>
  <c r="G139" i="59"/>
  <c r="H139" i="59"/>
  <c r="I139" i="59"/>
  <c r="K139" i="59"/>
  <c r="L139" i="59"/>
  <c r="M139" i="59"/>
  <c r="Q139" i="59"/>
  <c r="D140" i="59"/>
  <c r="E140" i="59"/>
  <c r="G140" i="59"/>
  <c r="H140" i="59"/>
  <c r="I140" i="59"/>
  <c r="K140" i="59"/>
  <c r="L140" i="59"/>
  <c r="M140" i="59"/>
  <c r="Q140" i="59"/>
  <c r="Q141" i="59"/>
  <c r="Q142" i="59"/>
  <c r="P3" i="57"/>
  <c r="Q3" i="57"/>
  <c r="N8" i="57"/>
  <c r="P8" i="57"/>
  <c r="Q8" i="57"/>
  <c r="N9" i="57"/>
  <c r="P9" i="57"/>
  <c r="O9" i="57"/>
  <c r="Q9" i="57"/>
  <c r="N10" i="57"/>
  <c r="P10" i="57"/>
  <c r="O10" i="57"/>
  <c r="N11" i="57"/>
  <c r="P11" i="57"/>
  <c r="O11" i="57"/>
  <c r="N12" i="57"/>
  <c r="N22" i="57"/>
  <c r="P12" i="57"/>
  <c r="N13" i="57"/>
  <c r="P13" i="57"/>
  <c r="O13" i="57"/>
  <c r="N14" i="57"/>
  <c r="P14" i="57"/>
  <c r="O14" i="57"/>
  <c r="N15" i="57"/>
  <c r="O15" i="57"/>
  <c r="P15" i="57"/>
  <c r="N16" i="57"/>
  <c r="O16" i="57"/>
  <c r="P16" i="57"/>
  <c r="N17" i="57"/>
  <c r="P17" i="57"/>
  <c r="O17" i="57"/>
  <c r="B18" i="57"/>
  <c r="N18" i="57"/>
  <c r="P18" i="57"/>
  <c r="O18" i="57"/>
  <c r="N19" i="57"/>
  <c r="P19" i="57"/>
  <c r="O19" i="57"/>
  <c r="N20" i="57"/>
  <c r="P20" i="57"/>
  <c r="O20" i="57"/>
  <c r="N21" i="57"/>
  <c r="Q21" i="57"/>
  <c r="B22" i="57"/>
  <c r="C22" i="57"/>
  <c r="D22" i="57"/>
  <c r="E22" i="57"/>
  <c r="F22" i="57"/>
  <c r="G22" i="57"/>
  <c r="H22" i="57"/>
  <c r="I22" i="57"/>
  <c r="J22" i="57"/>
  <c r="K22" i="57"/>
  <c r="L22" i="57"/>
  <c r="M22" i="57"/>
  <c r="B27" i="57"/>
  <c r="N27" i="57"/>
  <c r="P27" i="57"/>
  <c r="O27" i="57"/>
  <c r="N28" i="57"/>
  <c r="P28" i="57"/>
  <c r="O28" i="57"/>
  <c r="P30" i="57"/>
  <c r="O30" i="57"/>
  <c r="B31" i="57"/>
  <c r="D31" i="57"/>
  <c r="E31" i="57"/>
  <c r="F31" i="57"/>
  <c r="G31" i="57"/>
  <c r="H31" i="57"/>
  <c r="I31" i="57"/>
  <c r="J31" i="57"/>
  <c r="K31" i="57"/>
  <c r="L31" i="57"/>
  <c r="M31" i="57"/>
  <c r="Q31" i="57"/>
  <c r="B32" i="57"/>
  <c r="N32" i="57"/>
  <c r="N33" i="57"/>
  <c r="P33" i="57"/>
  <c r="O33" i="57"/>
  <c r="N34" i="57"/>
  <c r="O34" i="57"/>
  <c r="P34" i="57"/>
  <c r="N35" i="57"/>
  <c r="P35" i="57"/>
  <c r="O35" i="57"/>
  <c r="N36" i="57"/>
  <c r="P36" i="57"/>
  <c r="O36" i="57"/>
  <c r="N37" i="57"/>
  <c r="P37" i="57"/>
  <c r="O37" i="57"/>
  <c r="Q37" i="57"/>
  <c r="B38" i="57"/>
  <c r="D38" i="57"/>
  <c r="E38" i="57"/>
  <c r="F38" i="57"/>
  <c r="G38" i="57"/>
  <c r="H38" i="57"/>
  <c r="I38" i="57"/>
  <c r="J38" i="57"/>
  <c r="K38" i="57"/>
  <c r="L38" i="57"/>
  <c r="M38" i="57"/>
  <c r="Q38" i="57"/>
  <c r="N41" i="57"/>
  <c r="P41" i="57"/>
  <c r="O41" i="57"/>
  <c r="N42" i="57"/>
  <c r="P42" i="57"/>
  <c r="O42" i="57"/>
  <c r="Q42" i="57"/>
  <c r="N43" i="57"/>
  <c r="P43" i="57"/>
  <c r="N44" i="57"/>
  <c r="P44" i="57"/>
  <c r="O44" i="57"/>
  <c r="N45" i="57"/>
  <c r="O45" i="57"/>
  <c r="P45" i="57"/>
  <c r="B46" i="57"/>
  <c r="C46" i="57"/>
  <c r="D46" i="57"/>
  <c r="E46" i="57"/>
  <c r="F46" i="57"/>
  <c r="G46" i="57"/>
  <c r="H46" i="57"/>
  <c r="I46" i="57"/>
  <c r="J46" i="57"/>
  <c r="K46" i="57"/>
  <c r="L46" i="57"/>
  <c r="M46" i="57"/>
  <c r="Q46" i="57"/>
  <c r="N49" i="57"/>
  <c r="P49" i="57"/>
  <c r="O49" i="57"/>
  <c r="N50" i="57"/>
  <c r="Q50" i="57"/>
  <c r="N51" i="57"/>
  <c r="P51" i="57"/>
  <c r="P52" i="57"/>
  <c r="B53" i="57"/>
  <c r="N53" i="57"/>
  <c r="P53" i="57"/>
  <c r="O53" i="57"/>
  <c r="B54" i="57"/>
  <c r="C54" i="57"/>
  <c r="D54" i="57"/>
  <c r="E54" i="57"/>
  <c r="F54" i="57"/>
  <c r="G54" i="57"/>
  <c r="H54" i="57"/>
  <c r="I54" i="57"/>
  <c r="J54" i="57"/>
  <c r="K54" i="57"/>
  <c r="L54" i="57"/>
  <c r="M54" i="57"/>
  <c r="Q54" i="57"/>
  <c r="N57" i="57"/>
  <c r="P57" i="57"/>
  <c r="O57" i="57"/>
  <c r="N58" i="57"/>
  <c r="P58" i="57"/>
  <c r="O58" i="57"/>
  <c r="N59" i="57"/>
  <c r="P59" i="57"/>
  <c r="Q59" i="57"/>
  <c r="N60" i="57"/>
  <c r="P60" i="57"/>
  <c r="O60" i="57"/>
  <c r="N61" i="57"/>
  <c r="P61" i="57"/>
  <c r="O61" i="57"/>
  <c r="N62" i="57"/>
  <c r="P62" i="57"/>
  <c r="O62" i="57"/>
  <c r="N63" i="57"/>
  <c r="P63" i="57"/>
  <c r="O63" i="57"/>
  <c r="N64" i="57"/>
  <c r="P64" i="57"/>
  <c r="O64" i="57"/>
  <c r="B65" i="57"/>
  <c r="N65" i="57"/>
  <c r="P65" i="57"/>
  <c r="O65" i="57"/>
  <c r="N66" i="57"/>
  <c r="O66" i="57"/>
  <c r="P66" i="57"/>
  <c r="B67" i="57"/>
  <c r="C67" i="57"/>
  <c r="D67" i="57"/>
  <c r="E67" i="57"/>
  <c r="F67" i="57"/>
  <c r="G67" i="57"/>
  <c r="H67" i="57"/>
  <c r="I67" i="57"/>
  <c r="J67" i="57"/>
  <c r="K67" i="57"/>
  <c r="L67" i="57"/>
  <c r="M67" i="57"/>
  <c r="Q67" i="57"/>
  <c r="N70" i="57"/>
  <c r="P70" i="57"/>
  <c r="O70" i="57"/>
  <c r="N71" i="57"/>
  <c r="P71" i="57"/>
  <c r="N72" i="57"/>
  <c r="P72" i="57"/>
  <c r="O72" i="57"/>
  <c r="Q72" i="57"/>
  <c r="N73" i="57"/>
  <c r="P73" i="57"/>
  <c r="O73" i="57"/>
  <c r="N74" i="57"/>
  <c r="P74" i="57"/>
  <c r="O74" i="57"/>
  <c r="B75" i="57"/>
  <c r="C75" i="57"/>
  <c r="D75" i="57"/>
  <c r="E75" i="57"/>
  <c r="F75" i="57"/>
  <c r="G75" i="57"/>
  <c r="H75" i="57"/>
  <c r="I75" i="57"/>
  <c r="J75" i="57"/>
  <c r="K75" i="57"/>
  <c r="L75" i="57"/>
  <c r="M75" i="57"/>
  <c r="Q75" i="57"/>
  <c r="N78" i="57"/>
  <c r="P78" i="57"/>
  <c r="O78" i="57"/>
  <c r="N79" i="57"/>
  <c r="P79" i="57"/>
  <c r="N80" i="57"/>
  <c r="P80" i="57"/>
  <c r="O80" i="57"/>
  <c r="Q80" i="57"/>
  <c r="N81" i="57"/>
  <c r="N82" i="57"/>
  <c r="P82" i="57"/>
  <c r="O82" i="57"/>
  <c r="N83" i="57"/>
  <c r="P83" i="57"/>
  <c r="O83" i="57"/>
  <c r="N84" i="57"/>
  <c r="P84" i="57"/>
  <c r="O84" i="57"/>
  <c r="N85" i="57"/>
  <c r="P85" i="57"/>
  <c r="O85" i="57"/>
  <c r="N86" i="57"/>
  <c r="P86" i="57"/>
  <c r="O86" i="57"/>
  <c r="N87" i="57"/>
  <c r="P87" i="57"/>
  <c r="O87" i="57"/>
  <c r="B88" i="57"/>
  <c r="C88" i="57"/>
  <c r="D88" i="57"/>
  <c r="E88" i="57"/>
  <c r="F88" i="57"/>
  <c r="G88" i="57"/>
  <c r="H88" i="57"/>
  <c r="I88" i="57"/>
  <c r="J88" i="57"/>
  <c r="K88" i="57"/>
  <c r="L88" i="57"/>
  <c r="M88" i="57"/>
  <c r="Q88" i="57"/>
  <c r="N91" i="57"/>
  <c r="P91" i="57"/>
  <c r="N92" i="57"/>
  <c r="P92" i="57"/>
  <c r="O92" i="57"/>
  <c r="Q92" i="57"/>
  <c r="N93" i="57"/>
  <c r="P93" i="57"/>
  <c r="O93" i="57"/>
  <c r="N94" i="57"/>
  <c r="P94" i="57"/>
  <c r="O94" i="57"/>
  <c r="N95" i="57"/>
  <c r="P95" i="57"/>
  <c r="O95" i="57"/>
  <c r="N96" i="57"/>
  <c r="P96" i="57"/>
  <c r="O96" i="57"/>
  <c r="N97" i="57"/>
  <c r="P97" i="57"/>
  <c r="O97" i="57"/>
  <c r="N98" i="57"/>
  <c r="P98" i="57"/>
  <c r="N99" i="57"/>
  <c r="P99" i="57"/>
  <c r="O99" i="57"/>
  <c r="N100" i="57"/>
  <c r="P100" i="57"/>
  <c r="O100" i="57"/>
  <c r="B101" i="57"/>
  <c r="C101" i="57"/>
  <c r="D101" i="57"/>
  <c r="E101" i="57"/>
  <c r="F101" i="57"/>
  <c r="G101" i="57"/>
  <c r="H101" i="57"/>
  <c r="I101" i="57"/>
  <c r="J101" i="57"/>
  <c r="K101" i="57"/>
  <c r="L101" i="57"/>
  <c r="M101" i="57"/>
  <c r="Q101" i="57"/>
  <c r="N104" i="57"/>
  <c r="P104" i="57"/>
  <c r="O104" i="57"/>
  <c r="N105" i="57"/>
  <c r="Q105" i="57"/>
  <c r="N106" i="57"/>
  <c r="P106" i="57"/>
  <c r="P108" i="57"/>
  <c r="O108" i="57"/>
  <c r="N107" i="57"/>
  <c r="P107" i="57"/>
  <c r="O107" i="57"/>
  <c r="B108" i="57"/>
  <c r="C108" i="57"/>
  <c r="D108" i="57"/>
  <c r="E108" i="57"/>
  <c r="F108" i="57"/>
  <c r="G108" i="57"/>
  <c r="H108" i="57"/>
  <c r="I108" i="57"/>
  <c r="J108" i="57"/>
  <c r="K108" i="57"/>
  <c r="L108" i="57"/>
  <c r="M108" i="57"/>
  <c r="Q108" i="57"/>
  <c r="N111" i="57"/>
  <c r="P111" i="57"/>
  <c r="O111" i="57"/>
  <c r="N112" i="57"/>
  <c r="P112" i="57"/>
  <c r="O112" i="57"/>
  <c r="N113" i="57"/>
  <c r="O113" i="57"/>
  <c r="P113" i="57"/>
  <c r="N114" i="57"/>
  <c r="O114" i="57"/>
  <c r="P114" i="57"/>
  <c r="N115" i="57"/>
  <c r="P115" i="57"/>
  <c r="N116" i="57"/>
  <c r="P116" i="57"/>
  <c r="O116" i="57"/>
  <c r="N117" i="57"/>
  <c r="P117" i="57"/>
  <c r="O117" i="57"/>
  <c r="B118" i="57"/>
  <c r="C118" i="57"/>
  <c r="D118" i="57"/>
  <c r="E118" i="57"/>
  <c r="F118" i="57"/>
  <c r="G118" i="57"/>
  <c r="H118" i="57"/>
  <c r="I118" i="57"/>
  <c r="J118" i="57"/>
  <c r="K118" i="57"/>
  <c r="L118" i="57"/>
  <c r="M118" i="57"/>
  <c r="Q118" i="57"/>
  <c r="N121" i="57"/>
  <c r="N124" i="57"/>
  <c r="P121" i="57"/>
  <c r="P124" i="57"/>
  <c r="O124" i="57"/>
  <c r="N122" i="57"/>
  <c r="P122" i="57"/>
  <c r="O122" i="57"/>
  <c r="N123" i="57"/>
  <c r="P123" i="57"/>
  <c r="O123" i="57"/>
  <c r="B124" i="57"/>
  <c r="C124" i="57"/>
  <c r="D124" i="57"/>
  <c r="E124" i="57"/>
  <c r="F124" i="57"/>
  <c r="G124" i="57"/>
  <c r="H124" i="57"/>
  <c r="I124" i="57"/>
  <c r="J124" i="57"/>
  <c r="K124" i="57"/>
  <c r="L124" i="57"/>
  <c r="M124" i="57"/>
  <c r="Q124" i="57"/>
  <c r="N126" i="57"/>
  <c r="P126" i="57"/>
  <c r="O126" i="57"/>
  <c r="Q128" i="57"/>
  <c r="N129" i="57"/>
  <c r="K31" i="63"/>
  <c r="L31" i="63"/>
  <c r="P129" i="57"/>
  <c r="N130" i="57"/>
  <c r="P130" i="57"/>
  <c r="D131" i="57"/>
  <c r="E131" i="57"/>
  <c r="H131" i="57"/>
  <c r="I131" i="57"/>
  <c r="L131" i="57"/>
  <c r="L133" i="57"/>
  <c r="M131" i="57"/>
  <c r="Q131" i="57"/>
  <c r="D133" i="57"/>
  <c r="E133" i="57"/>
  <c r="H133" i="57"/>
  <c r="I133" i="57"/>
  <c r="M133" i="57"/>
  <c r="Q135" i="57"/>
  <c r="G6" i="62"/>
  <c r="G8" i="62"/>
  <c r="G9" i="62"/>
  <c r="G10" i="62"/>
  <c r="G11" i="62"/>
  <c r="G12" i="62"/>
  <c r="G13" i="62"/>
  <c r="G14" i="62"/>
  <c r="G15" i="62"/>
  <c r="B16" i="62"/>
  <c r="D16" i="62"/>
  <c r="E16" i="62"/>
  <c r="G19" i="62"/>
  <c r="G20" i="62"/>
  <c r="G21" i="62"/>
  <c r="G22" i="62"/>
  <c r="G24" i="62"/>
  <c r="B24" i="62"/>
  <c r="C24" i="62"/>
  <c r="D24" i="62"/>
  <c r="I24" i="62"/>
  <c r="G28" i="62"/>
  <c r="G29" i="62"/>
  <c r="G30" i="62"/>
  <c r="G31" i="62"/>
  <c r="B32" i="62"/>
  <c r="C32" i="62"/>
  <c r="D32" i="62"/>
  <c r="E32" i="62"/>
  <c r="F32" i="62"/>
  <c r="I32" i="62"/>
  <c r="I36" i="62"/>
  <c r="I39" i="62"/>
  <c r="O111" i="56"/>
  <c r="F71" i="54"/>
  <c r="G71" i="54"/>
  <c r="AD71" i="68"/>
  <c r="O91" i="57"/>
  <c r="P113" i="59"/>
  <c r="O113" i="59"/>
  <c r="O112" i="58"/>
  <c r="O75" i="58"/>
  <c r="O47" i="59"/>
  <c r="O7" i="59"/>
  <c r="O101" i="68"/>
  <c r="O55" i="56"/>
  <c r="O95" i="68"/>
  <c r="P98" i="68"/>
  <c r="O98" i="68"/>
  <c r="O87" i="68"/>
  <c r="P44" i="68"/>
  <c r="O44" i="68"/>
  <c r="G7" i="62"/>
  <c r="F16" i="62"/>
  <c r="G32" i="62"/>
  <c r="I70" i="54"/>
  <c r="N23" i="56"/>
  <c r="N140" i="56"/>
  <c r="E34" i="62"/>
  <c r="E36" i="62"/>
  <c r="E37" i="62"/>
  <c r="N22" i="59"/>
  <c r="N140" i="59"/>
  <c r="D34" i="62"/>
  <c r="D36" i="62"/>
  <c r="D37" i="62"/>
  <c r="D39" i="62"/>
  <c r="AD62" i="68"/>
  <c r="O62" i="68"/>
  <c r="K29" i="66"/>
  <c r="L29" i="66"/>
  <c r="N130" i="56"/>
  <c r="N124" i="56"/>
  <c r="O121" i="56"/>
  <c r="N114" i="56"/>
  <c r="K25" i="66"/>
  <c r="L25" i="66"/>
  <c r="N107" i="56"/>
  <c r="N94" i="56"/>
  <c r="K21" i="66"/>
  <c r="L21" i="66"/>
  <c r="N82" i="56"/>
  <c r="N72" i="56"/>
  <c r="N59" i="56"/>
  <c r="K15" i="66"/>
  <c r="L15" i="66"/>
  <c r="N49" i="56"/>
  <c r="C139" i="56"/>
  <c r="C140" i="56"/>
  <c r="N31" i="56"/>
  <c r="O131" i="58"/>
  <c r="N129" i="58"/>
  <c r="N123" i="58"/>
  <c r="O120" i="58"/>
  <c r="N147" i="58"/>
  <c r="N113" i="58"/>
  <c r="N106" i="58"/>
  <c r="N93" i="58"/>
  <c r="K20" i="64"/>
  <c r="N80" i="58"/>
  <c r="K18" i="64"/>
  <c r="L18" i="64"/>
  <c r="N72" i="58"/>
  <c r="N59" i="58"/>
  <c r="K14" i="64"/>
  <c r="L14" i="64"/>
  <c r="N51" i="58"/>
  <c r="C138" i="58"/>
  <c r="C140" i="58"/>
  <c r="N149" i="58"/>
  <c r="N33" i="58"/>
  <c r="N123" i="59"/>
  <c r="K26" i="65"/>
  <c r="L26" i="65"/>
  <c r="K24" i="65"/>
  <c r="L24" i="65"/>
  <c r="O110" i="59"/>
  <c r="N106" i="59"/>
  <c r="K22" i="65"/>
  <c r="L22" i="65"/>
  <c r="O96" i="59"/>
  <c r="N93" i="59"/>
  <c r="K20" i="65"/>
  <c r="L20" i="65"/>
  <c r="N81" i="59"/>
  <c r="N72" i="59"/>
  <c r="N59" i="59"/>
  <c r="N49" i="59"/>
  <c r="N134" i="59"/>
  <c r="C140" i="59"/>
  <c r="N31" i="59"/>
  <c r="N39" i="59"/>
  <c r="K29" i="63"/>
  <c r="L29" i="63"/>
  <c r="O121" i="57"/>
  <c r="N118" i="57"/>
  <c r="K27" i="63"/>
  <c r="O115" i="57"/>
  <c r="N108" i="57"/>
  <c r="K25" i="63"/>
  <c r="L25" i="63"/>
  <c r="N101" i="57"/>
  <c r="N88" i="57"/>
  <c r="K21" i="63"/>
  <c r="L21" i="63"/>
  <c r="N75" i="57"/>
  <c r="N67" i="57"/>
  <c r="N54" i="57"/>
  <c r="N46" i="57"/>
  <c r="K13" i="63"/>
  <c r="L13" i="63"/>
  <c r="N31" i="57"/>
  <c r="C31" i="57"/>
  <c r="C38" i="57"/>
  <c r="C131" i="57"/>
  <c r="C133" i="57"/>
  <c r="E24" i="62"/>
  <c r="G16" i="62"/>
  <c r="R74" i="54"/>
  <c r="S74" i="54"/>
  <c r="K27" i="66"/>
  <c r="L27" i="66"/>
  <c r="K23" i="66"/>
  <c r="K19" i="66"/>
  <c r="L19" i="66"/>
  <c r="K17" i="66"/>
  <c r="L17" i="66"/>
  <c r="K13" i="66"/>
  <c r="L13" i="66"/>
  <c r="N38" i="56"/>
  <c r="N135" i="56"/>
  <c r="K26" i="64"/>
  <c r="L26" i="64"/>
  <c r="K24" i="64"/>
  <c r="K22" i="64"/>
  <c r="L22" i="64"/>
  <c r="K16" i="64"/>
  <c r="K12" i="64"/>
  <c r="N146" i="58"/>
  <c r="N41" i="58"/>
  <c r="K18" i="65"/>
  <c r="L18" i="65"/>
  <c r="K16" i="65"/>
  <c r="L16" i="65"/>
  <c r="K14" i="65"/>
  <c r="L14" i="65"/>
  <c r="K12" i="65"/>
  <c r="L12" i="65"/>
  <c r="K10" i="65"/>
  <c r="K23" i="63"/>
  <c r="K19" i="63"/>
  <c r="K17" i="63"/>
  <c r="L17" i="63"/>
  <c r="K15" i="63"/>
  <c r="L15" i="63"/>
  <c r="N38" i="57"/>
  <c r="K11" i="66"/>
  <c r="K10" i="64"/>
  <c r="N139" i="59"/>
  <c r="K11" i="63"/>
  <c r="N139" i="56"/>
  <c r="N131" i="57"/>
  <c r="N149" i="56"/>
  <c r="N151" i="56"/>
  <c r="N148" i="58"/>
  <c r="N151" i="58"/>
  <c r="G70" i="54"/>
  <c r="F72" i="54"/>
  <c r="I72" i="54"/>
  <c r="P49" i="59"/>
  <c r="O49" i="59"/>
  <c r="F182" i="54"/>
  <c r="P120" i="60"/>
  <c r="G165" i="54"/>
  <c r="P132" i="56"/>
  <c r="O132" i="56"/>
  <c r="E135" i="54"/>
  <c r="G133" i="54"/>
  <c r="P104" i="58"/>
  <c r="O104" i="58"/>
  <c r="N128" i="54"/>
  <c r="O112" i="54"/>
  <c r="G103" i="54"/>
  <c r="B106" i="54"/>
  <c r="P79" i="56"/>
  <c r="O79" i="56"/>
  <c r="S98" i="54"/>
  <c r="S70" i="54"/>
  <c r="S50" i="54"/>
  <c r="Q53" i="54"/>
  <c r="G47" i="54"/>
  <c r="S37" i="54"/>
  <c r="E31" i="54"/>
  <c r="O71" i="57"/>
  <c r="O52" i="56"/>
  <c r="S105" i="54"/>
  <c r="E67" i="54"/>
  <c r="P45" i="58"/>
  <c r="O45" i="58"/>
  <c r="O116" i="59"/>
  <c r="O110" i="58"/>
  <c r="O129" i="56"/>
  <c r="P130" i="56"/>
  <c r="O130" i="56"/>
  <c r="S139" i="54"/>
  <c r="G139" i="54"/>
  <c r="D143" i="54"/>
  <c r="P105" i="57"/>
  <c r="S134" i="54"/>
  <c r="N146" i="54"/>
  <c r="Q99" i="54"/>
  <c r="G94" i="54"/>
  <c r="S39" i="54"/>
  <c r="S43" i="54"/>
  <c r="P43" i="54"/>
  <c r="P53" i="54"/>
  <c r="P28" i="54"/>
  <c r="S7" i="54"/>
  <c r="S28" i="54"/>
  <c r="O79" i="57"/>
  <c r="O127" i="58"/>
  <c r="O30" i="58"/>
  <c r="S151" i="54"/>
  <c r="N155" i="54"/>
  <c r="S150" i="54"/>
  <c r="P155" i="54"/>
  <c r="P168" i="54"/>
  <c r="G143" i="54"/>
  <c r="C79" i="54"/>
  <c r="I71" i="54"/>
  <c r="P35" i="68"/>
  <c r="AD35" i="68"/>
  <c r="F67" i="54"/>
  <c r="P37" i="60"/>
  <c r="G56" i="54"/>
  <c r="I56" i="54"/>
  <c r="I67" i="54"/>
  <c r="S153" i="54"/>
  <c r="Q146" i="54"/>
  <c r="Q168" i="54"/>
  <c r="S90" i="54"/>
  <c r="P99" i="54"/>
  <c r="S99" i="54"/>
  <c r="S81" i="54"/>
  <c r="P83" i="54"/>
  <c r="B79" i="54"/>
  <c r="P53" i="56"/>
  <c r="O53" i="56"/>
  <c r="G19" i="54"/>
  <c r="P11" i="60"/>
  <c r="O168" i="54"/>
  <c r="O170" i="54"/>
  <c r="O177" i="54"/>
  <c r="S132" i="54"/>
  <c r="S146" i="54"/>
  <c r="Q117" i="54"/>
  <c r="Q128" i="54"/>
  <c r="Q119" i="54"/>
  <c r="S104" i="54"/>
  <c r="O99" i="54"/>
  <c r="O83" i="54"/>
  <c r="R70" i="54"/>
  <c r="S57" i="54"/>
  <c r="D67" i="54"/>
  <c r="G57" i="54"/>
  <c r="N70" i="54"/>
  <c r="G46" i="54"/>
  <c r="P34" i="56"/>
  <c r="O34" i="56"/>
  <c r="N28" i="54"/>
  <c r="S22" i="54"/>
  <c r="Q28" i="54"/>
  <c r="G153" i="54"/>
  <c r="P128" i="54"/>
  <c r="P119" i="54"/>
  <c r="S119" i="54"/>
  <c r="P50" i="57"/>
  <c r="O50" i="57"/>
  <c r="I36" i="54"/>
  <c r="B31" i="54"/>
  <c r="D31" i="54"/>
  <c r="P31" i="56"/>
  <c r="O31" i="56"/>
  <c r="G38" i="54"/>
  <c r="P108" i="68"/>
  <c r="O108" i="68"/>
  <c r="O105" i="68"/>
  <c r="AB103" i="56"/>
  <c r="C31" i="54"/>
  <c r="P6" i="59"/>
  <c r="O6" i="59"/>
  <c r="P8" i="56"/>
  <c r="G7" i="54"/>
  <c r="G31" i="54"/>
  <c r="G24" i="54"/>
  <c r="P15" i="68"/>
  <c r="O8" i="57"/>
  <c r="G6" i="54"/>
  <c r="I6" i="54"/>
  <c r="I7" i="54"/>
  <c r="G175" i="54"/>
  <c r="P26" i="68"/>
  <c r="P26" i="60"/>
  <c r="B43" i="54"/>
  <c r="AD24" i="68"/>
  <c r="P23" i="68"/>
  <c r="O23" i="68"/>
  <c r="F52" i="54"/>
  <c r="M10" i="67"/>
  <c r="P32" i="56"/>
  <c r="O32" i="56"/>
  <c r="B183" i="54"/>
  <c r="B184" i="54"/>
  <c r="B52" i="54"/>
  <c r="M11" i="66"/>
  <c r="L11" i="66"/>
  <c r="G41" i="54"/>
  <c r="O53" i="59"/>
  <c r="C43" i="54"/>
  <c r="P32" i="59"/>
  <c r="O32" i="59"/>
  <c r="AD49" i="68"/>
  <c r="O59" i="57"/>
  <c r="G72" i="54"/>
  <c r="D79" i="54"/>
  <c r="D40" i="54"/>
  <c r="D43" i="54"/>
  <c r="D52" i="54"/>
  <c r="M11" i="63"/>
  <c r="I38" i="54"/>
  <c r="O77" i="58"/>
  <c r="O56" i="68"/>
  <c r="O62" i="58"/>
  <c r="E40" i="54"/>
  <c r="R76" i="54"/>
  <c r="S76" i="54"/>
  <c r="O105" i="57"/>
  <c r="S117" i="54"/>
  <c r="S128" i="54"/>
  <c r="P170" i="54"/>
  <c r="P177" i="54"/>
  <c r="O35" i="68"/>
  <c r="Q170" i="54"/>
  <c r="Q177" i="54"/>
  <c r="S112" i="54"/>
  <c r="S155" i="54"/>
  <c r="N168" i="54"/>
  <c r="N170" i="54"/>
  <c r="N177" i="54"/>
  <c r="S53" i="54"/>
  <c r="O8" i="56"/>
  <c r="I27" i="54"/>
  <c r="D183" i="54"/>
  <c r="D184" i="54"/>
  <c r="P32" i="57"/>
  <c r="O32" i="57"/>
  <c r="P31" i="68"/>
  <c r="O31" i="68"/>
  <c r="C52" i="54"/>
  <c r="M10" i="65"/>
  <c r="C183" i="54"/>
  <c r="C184" i="54"/>
  <c r="I40" i="54"/>
  <c r="I41" i="54"/>
  <c r="I51" i="54"/>
  <c r="E43" i="54"/>
  <c r="G40" i="54"/>
  <c r="G43" i="54"/>
  <c r="E52" i="54"/>
  <c r="M10" i="64"/>
  <c r="P34" i="58"/>
  <c r="O34" i="58"/>
  <c r="E183" i="54"/>
  <c r="E184" i="54"/>
  <c r="P147" i="58"/>
  <c r="AD100" i="68"/>
  <c r="I80" i="54"/>
  <c r="O6" i="68"/>
  <c r="P17" i="68"/>
  <c r="O17" i="68"/>
  <c r="P23" i="56"/>
  <c r="P81" i="59"/>
  <c r="O81" i="59"/>
  <c r="P75" i="57"/>
  <c r="O75" i="57"/>
  <c r="O106" i="57"/>
  <c r="O14" i="59"/>
  <c r="O21" i="56"/>
  <c r="O19" i="56"/>
  <c r="AD83" i="68"/>
  <c r="O34" i="68"/>
  <c r="P72" i="59"/>
  <c r="O72" i="59"/>
  <c r="P57" i="68"/>
  <c r="O57" i="68"/>
  <c r="P31" i="59"/>
  <c r="P39" i="59"/>
  <c r="O39" i="59"/>
  <c r="P107" i="56"/>
  <c r="O107" i="56"/>
  <c r="F79" i="54"/>
  <c r="L19" i="63"/>
  <c r="L27" i="63"/>
  <c r="Q22" i="57"/>
  <c r="Q133" i="57"/>
  <c r="Q136" i="57"/>
  <c r="P80" i="58"/>
  <c r="O80" i="58"/>
  <c r="O19" i="58"/>
  <c r="O15" i="58"/>
  <c r="P24" i="58"/>
  <c r="O14" i="56"/>
  <c r="G73" i="54"/>
  <c r="G79" i="54"/>
  <c r="P124" i="56"/>
  <c r="O124" i="56"/>
  <c r="P123" i="59"/>
  <c r="O123" i="59"/>
  <c r="L23" i="63"/>
  <c r="P123" i="58"/>
  <c r="O123" i="58"/>
  <c r="P113" i="58"/>
  <c r="O113" i="58"/>
  <c r="E39" i="62"/>
  <c r="O37" i="60"/>
  <c r="O52" i="60"/>
  <c r="N49" i="60"/>
  <c r="O44" i="60"/>
  <c r="O6" i="60"/>
  <c r="O29" i="60"/>
  <c r="O27" i="60"/>
  <c r="N11" i="60"/>
  <c r="N17" i="60"/>
  <c r="C33" i="60"/>
  <c r="C122" i="60"/>
  <c r="O68" i="60"/>
  <c r="O66" i="60"/>
  <c r="O49" i="60"/>
  <c r="O89" i="60"/>
  <c r="O77" i="60"/>
  <c r="O73" i="60"/>
  <c r="O108" i="60"/>
  <c r="O106" i="60"/>
  <c r="O101" i="60"/>
  <c r="O107" i="60"/>
  <c r="O40" i="60"/>
  <c r="O36" i="60"/>
  <c r="O26" i="60"/>
  <c r="O111" i="60"/>
  <c r="O109" i="60"/>
  <c r="O105" i="60"/>
  <c r="O85" i="60"/>
  <c r="O54" i="60"/>
  <c r="N25" i="60"/>
  <c r="N33" i="60"/>
  <c r="K10" i="67"/>
  <c r="L10" i="67"/>
  <c r="O21" i="60"/>
  <c r="O15" i="60"/>
  <c r="O12" i="60"/>
  <c r="O117" i="60"/>
  <c r="N102" i="60"/>
  <c r="K24" i="67"/>
  <c r="L24" i="67"/>
  <c r="O91" i="60"/>
  <c r="N62" i="60"/>
  <c r="O31" i="60"/>
  <c r="O116" i="60"/>
  <c r="J122" i="60"/>
  <c r="F122" i="60"/>
  <c r="O11" i="60"/>
  <c r="Q122" i="60"/>
  <c r="N59" i="60"/>
  <c r="K16" i="67"/>
  <c r="L16" i="67"/>
  <c r="M30" i="67"/>
  <c r="M32" i="67"/>
  <c r="M35" i="67"/>
  <c r="M122" i="60"/>
  <c r="M127" i="60"/>
  <c r="I122" i="60"/>
  <c r="I127" i="60"/>
  <c r="E122" i="60"/>
  <c r="E127" i="60"/>
  <c r="O98" i="60"/>
  <c r="N95" i="60"/>
  <c r="K22" i="67"/>
  <c r="L22" i="67"/>
  <c r="O80" i="60"/>
  <c r="P82" i="60"/>
  <c r="B17" i="60"/>
  <c r="P118" i="60"/>
  <c r="L122" i="60"/>
  <c r="L127" i="60"/>
  <c r="H122" i="60"/>
  <c r="D122" i="60"/>
  <c r="D127" i="60"/>
  <c r="P112" i="60"/>
  <c r="O99" i="60"/>
  <c r="O87" i="60"/>
  <c r="O81" i="60"/>
  <c r="O76" i="60"/>
  <c r="O74" i="60"/>
  <c r="O72" i="60"/>
  <c r="O57" i="60"/>
  <c r="O55" i="60"/>
  <c r="B46" i="60"/>
  <c r="B122" i="60"/>
  <c r="N41" i="60"/>
  <c r="K12" i="67"/>
  <c r="L12" i="67"/>
  <c r="O16" i="60"/>
  <c r="O120" i="60"/>
  <c r="K28" i="67"/>
  <c r="L28" i="67"/>
  <c r="K122" i="60"/>
  <c r="G122" i="60"/>
  <c r="O88" i="60"/>
  <c r="O62" i="60"/>
  <c r="O58" i="60"/>
  <c r="P59" i="60"/>
  <c r="F127" i="60"/>
  <c r="Q129" i="60"/>
  <c r="O59" i="60"/>
  <c r="O45" i="60"/>
  <c r="N46" i="60"/>
  <c r="J127" i="60"/>
  <c r="N82" i="60"/>
  <c r="K20" i="67"/>
  <c r="L20" i="67"/>
  <c r="N118" i="60"/>
  <c r="O10" i="60"/>
  <c r="O8" i="60"/>
  <c r="N112" i="60"/>
  <c r="K26" i="67"/>
  <c r="L26" i="67"/>
  <c r="P46" i="60"/>
  <c r="O86" i="60"/>
  <c r="O79" i="60"/>
  <c r="N65" i="60"/>
  <c r="N69" i="60"/>
  <c r="K18" i="67"/>
  <c r="L18" i="67"/>
  <c r="O63" i="60"/>
  <c r="O30" i="60"/>
  <c r="P17" i="60"/>
  <c r="O100" i="60"/>
  <c r="O94" i="60"/>
  <c r="O92" i="60"/>
  <c r="O90" i="60"/>
  <c r="O51" i="60"/>
  <c r="O24" i="60"/>
  <c r="O7" i="60"/>
  <c r="P79" i="68"/>
  <c r="O79" i="68"/>
  <c r="O77" i="68"/>
  <c r="P64" i="60"/>
  <c r="O64" i="60"/>
  <c r="G99" i="54"/>
  <c r="G106" i="54"/>
  <c r="F106" i="54"/>
  <c r="F166" i="54"/>
  <c r="F168" i="54"/>
  <c r="F176" i="54"/>
  <c r="F179" i="54"/>
  <c r="F180" i="54"/>
  <c r="P61" i="68"/>
  <c r="O61" i="68"/>
  <c r="O60" i="68"/>
  <c r="F183" i="54"/>
  <c r="F184" i="54"/>
  <c r="G52" i="54"/>
  <c r="P149" i="58"/>
  <c r="M32" i="64"/>
  <c r="M34" i="64"/>
  <c r="M37" i="64"/>
  <c r="L10" i="64"/>
  <c r="E166" i="54"/>
  <c r="E168" i="54"/>
  <c r="E176" i="54"/>
  <c r="E181" i="54"/>
  <c r="O115" i="60"/>
  <c r="P102" i="60"/>
  <c r="O102" i="60"/>
  <c r="P41" i="60"/>
  <c r="O41" i="60"/>
  <c r="P25" i="60"/>
  <c r="P95" i="60"/>
  <c r="K7" i="66"/>
  <c r="P38" i="56"/>
  <c r="P82" i="56"/>
  <c r="O82" i="56"/>
  <c r="P114" i="56"/>
  <c r="O114" i="56"/>
  <c r="P94" i="56"/>
  <c r="O94" i="56"/>
  <c r="O23" i="56"/>
  <c r="P59" i="56"/>
  <c r="O59" i="56"/>
  <c r="P72" i="56"/>
  <c r="O72" i="56"/>
  <c r="P49" i="56"/>
  <c r="O49" i="56"/>
  <c r="K33" i="66"/>
  <c r="O24" i="58"/>
  <c r="N140" i="58"/>
  <c r="B34" i="62"/>
  <c r="B36" i="62"/>
  <c r="B37" i="62"/>
  <c r="B39" i="62"/>
  <c r="K7" i="64"/>
  <c r="K34" i="64"/>
  <c r="P146" i="58"/>
  <c r="P41" i="58"/>
  <c r="O41" i="58"/>
  <c r="O33" i="58"/>
  <c r="O118" i="58"/>
  <c r="O109" i="58"/>
  <c r="P51" i="58"/>
  <c r="O51" i="58"/>
  <c r="P106" i="58"/>
  <c r="O106" i="58"/>
  <c r="P129" i="58"/>
  <c r="O129" i="58"/>
  <c r="P93" i="58"/>
  <c r="O93" i="58"/>
  <c r="P72" i="58"/>
  <c r="O72" i="58"/>
  <c r="O31" i="59"/>
  <c r="K6" i="65"/>
  <c r="P129" i="59"/>
  <c r="O129" i="59"/>
  <c r="O62" i="59"/>
  <c r="P93" i="59"/>
  <c r="O93" i="59"/>
  <c r="P106" i="59"/>
  <c r="O106" i="59"/>
  <c r="K8" i="63"/>
  <c r="N133" i="57"/>
  <c r="C34" i="62"/>
  <c r="P88" i="57"/>
  <c r="O88" i="57"/>
  <c r="P67" i="57"/>
  <c r="O67" i="57"/>
  <c r="P31" i="57"/>
  <c r="P22" i="57"/>
  <c r="O22" i="57"/>
  <c r="K33" i="63"/>
  <c r="P54" i="57"/>
  <c r="O12" i="57"/>
  <c r="P101" i="57"/>
  <c r="O101" i="57"/>
  <c r="P118" i="57"/>
  <c r="O118" i="57"/>
  <c r="P46" i="57"/>
  <c r="O46" i="57"/>
  <c r="B166" i="54"/>
  <c r="M31" i="66"/>
  <c r="L31" i="66"/>
  <c r="M32" i="65"/>
  <c r="L10" i="65"/>
  <c r="C166" i="54"/>
  <c r="C168" i="54"/>
  <c r="C176" i="54"/>
  <c r="C179" i="54"/>
  <c r="C180" i="54"/>
  <c r="P22" i="59"/>
  <c r="O22" i="59"/>
  <c r="P59" i="59"/>
  <c r="O59" i="59"/>
  <c r="O54" i="59"/>
  <c r="M33" i="63"/>
  <c r="L11" i="63"/>
  <c r="D166" i="54"/>
  <c r="D168" i="54"/>
  <c r="D176" i="54"/>
  <c r="D181" i="54"/>
  <c r="O54" i="57"/>
  <c r="O51" i="57"/>
  <c r="G183" i="54"/>
  <c r="G184" i="54"/>
  <c r="O118" i="60"/>
  <c r="C126" i="60"/>
  <c r="C127" i="60"/>
  <c r="G127" i="60"/>
  <c r="N122" i="60"/>
  <c r="N137" i="60"/>
  <c r="K127" i="60"/>
  <c r="O95" i="60"/>
  <c r="H127" i="60"/>
  <c r="B126" i="60"/>
  <c r="B128" i="60"/>
  <c r="B127" i="60"/>
  <c r="P69" i="60"/>
  <c r="O69" i="60"/>
  <c r="O65" i="60"/>
  <c r="O112" i="60"/>
  <c r="O82" i="60"/>
  <c r="K14" i="67"/>
  <c r="O46" i="60"/>
  <c r="D179" i="54"/>
  <c r="D180" i="54"/>
  <c r="G166" i="54"/>
  <c r="G168" i="54"/>
  <c r="G176" i="54"/>
  <c r="G179" i="54"/>
  <c r="G180" i="54"/>
  <c r="G182" i="54"/>
  <c r="F181" i="54"/>
  <c r="P66" i="68"/>
  <c r="C181" i="54"/>
  <c r="L32" i="64"/>
  <c r="E179" i="54"/>
  <c r="E180" i="54"/>
  <c r="P33" i="60"/>
  <c r="O33" i="60"/>
  <c r="O25" i="60"/>
  <c r="K6" i="67"/>
  <c r="O17" i="60"/>
  <c r="P135" i="56"/>
  <c r="O38" i="56"/>
  <c r="L7" i="66"/>
  <c r="K35" i="66"/>
  <c r="P133" i="58"/>
  <c r="P134" i="59"/>
  <c r="O134" i="59"/>
  <c r="K34" i="65"/>
  <c r="L6" i="65"/>
  <c r="P38" i="57"/>
  <c r="O31" i="57"/>
  <c r="L8" i="63"/>
  <c r="K37" i="63"/>
  <c r="C36" i="62"/>
  <c r="M33" i="66"/>
  <c r="M35" i="66"/>
  <c r="M38" i="66"/>
  <c r="B168" i="54"/>
  <c r="B176" i="54"/>
  <c r="B179" i="54"/>
  <c r="B180" i="54"/>
  <c r="L32" i="65"/>
  <c r="M34" i="65"/>
  <c r="M37" i="65"/>
  <c r="M37" i="63"/>
  <c r="M40" i="63"/>
  <c r="L33" i="63"/>
  <c r="N126" i="60"/>
  <c r="F34" i="62"/>
  <c r="F36" i="62"/>
  <c r="F37" i="62"/>
  <c r="F39" i="62"/>
  <c r="G34" i="62"/>
  <c r="L14" i="67"/>
  <c r="K30" i="67"/>
  <c r="L30" i="67"/>
  <c r="G181" i="54"/>
  <c r="P139" i="59"/>
  <c r="P140" i="59"/>
  <c r="P142" i="59"/>
  <c r="L33" i="66"/>
  <c r="P112" i="68"/>
  <c r="O66" i="68"/>
  <c r="B181" i="54"/>
  <c r="L6" i="67"/>
  <c r="P122" i="60"/>
  <c r="P126" i="60"/>
  <c r="P139" i="56"/>
  <c r="P140" i="56"/>
  <c r="P142" i="56"/>
  <c r="O135" i="56"/>
  <c r="P138" i="58"/>
  <c r="O133" i="58"/>
  <c r="C37" i="62"/>
  <c r="C39" i="62"/>
  <c r="G39" i="62"/>
  <c r="C49" i="62"/>
  <c r="G36" i="62"/>
  <c r="G37" i="62"/>
  <c r="O38" i="57"/>
  <c r="P128" i="57"/>
  <c r="K32" i="67"/>
  <c r="O112" i="68"/>
  <c r="P114" i="68"/>
  <c r="P117" i="68"/>
  <c r="P119" i="68"/>
  <c r="O122" i="60"/>
  <c r="P127" i="60"/>
  <c r="P129" i="60"/>
  <c r="P148" i="58"/>
  <c r="P151" i="58"/>
  <c r="P140" i="58"/>
  <c r="P143" i="58"/>
  <c r="O128" i="57"/>
  <c r="P131" i="57"/>
  <c r="P133" i="57"/>
  <c r="P136" i="57"/>
  <c r="I37" i="62"/>
  <c r="R83" i="54"/>
  <c r="R168" i="54"/>
  <c r="R170" i="54"/>
  <c r="R177" i="54"/>
  <c r="R75" i="54"/>
  <c r="S75" i="54"/>
  <c r="S83" i="54"/>
  <c r="S168" i="54"/>
  <c r="S170" i="54"/>
  <c r="S177" i="54"/>
</calcChain>
</file>

<file path=xl/sharedStrings.xml><?xml version="1.0" encoding="utf-8"?>
<sst xmlns="http://schemas.openxmlformats.org/spreadsheetml/2006/main" count="3382" uniqueCount="778">
  <si>
    <t>Bank Fees</t>
  </si>
  <si>
    <t>Salaries</t>
  </si>
  <si>
    <t>Staff Development</t>
  </si>
  <si>
    <t>D-2 Admin Expense</t>
  </si>
  <si>
    <t>Board Training</t>
  </si>
  <si>
    <t>Legal Services</t>
  </si>
  <si>
    <t>Advertising</t>
  </si>
  <si>
    <t>Postage</t>
  </si>
  <si>
    <t>Trash Service</t>
  </si>
  <si>
    <t>Utilities</t>
  </si>
  <si>
    <t>Security Services</t>
  </si>
  <si>
    <t>Telephone</t>
  </si>
  <si>
    <t>Fingerprinting</t>
  </si>
  <si>
    <t>Unemployment Insurance</t>
  </si>
  <si>
    <t>General Fund</t>
  </si>
  <si>
    <t xml:space="preserve"> </t>
  </si>
  <si>
    <t>Revenue</t>
  </si>
  <si>
    <t>Student Fees</t>
  </si>
  <si>
    <t>PPR</t>
  </si>
  <si>
    <t>Expenses</t>
  </si>
  <si>
    <t>School Administration</t>
  </si>
  <si>
    <t xml:space="preserve">     Total School Administration</t>
  </si>
  <si>
    <t>Capital Construction</t>
  </si>
  <si>
    <t>Interest Income</t>
  </si>
  <si>
    <t>Sports Fund</t>
  </si>
  <si>
    <t>Other</t>
  </si>
  <si>
    <t>General fund</t>
  </si>
  <si>
    <t xml:space="preserve">     Total General Fund</t>
  </si>
  <si>
    <t>Total High School Expenses</t>
  </si>
  <si>
    <t>Total Middle School Expenses</t>
  </si>
  <si>
    <t>Instructional Program</t>
  </si>
  <si>
    <t xml:space="preserve">          Total Instructional Program</t>
  </si>
  <si>
    <t xml:space="preserve">       Total Business Services</t>
  </si>
  <si>
    <t xml:space="preserve">       Total Operation and Maintenance</t>
  </si>
  <si>
    <t xml:space="preserve">       Sub-total Support Serv Central</t>
  </si>
  <si>
    <t>Student Support Services</t>
  </si>
  <si>
    <t xml:space="preserve">          Total Student Support Services</t>
  </si>
  <si>
    <t>Instructional Staff Support Services</t>
  </si>
  <si>
    <t>Tech Data Services</t>
  </si>
  <si>
    <t>Student Assessment Supplies</t>
  </si>
  <si>
    <t>General Administration Support Services</t>
  </si>
  <si>
    <t xml:space="preserve">          Total General Admin Services</t>
  </si>
  <si>
    <t>Audit</t>
  </si>
  <si>
    <t>Office Supplies</t>
  </si>
  <si>
    <t>Dues and Fees</t>
  </si>
  <si>
    <t>Principals Fund</t>
  </si>
  <si>
    <t>Repair and Maintenance</t>
  </si>
  <si>
    <t>Liability Insurance</t>
  </si>
  <si>
    <t>Life/Disability Insurance</t>
  </si>
  <si>
    <t xml:space="preserve">     Total School Revenue</t>
  </si>
  <si>
    <t>Total School Expenses</t>
  </si>
  <si>
    <t>Business Services</t>
  </si>
  <si>
    <t>Operation and Maintenance of Plant</t>
  </si>
  <si>
    <t>Support Services - Central</t>
  </si>
  <si>
    <t>Total  Expenses</t>
  </si>
  <si>
    <t>Title Funds</t>
  </si>
  <si>
    <t xml:space="preserve">          Total Instructional Support Services</t>
  </si>
  <si>
    <t>Executive Training</t>
  </si>
  <si>
    <t>HR Contingencies</t>
  </si>
  <si>
    <t>Marketing/PR</t>
  </si>
  <si>
    <t xml:space="preserve">Frontier Ranch </t>
  </si>
  <si>
    <t>Student Camp</t>
  </si>
  <si>
    <t>Camp Expenses</t>
  </si>
  <si>
    <t>Interest</t>
  </si>
  <si>
    <t>Workman's Comp Insurance</t>
  </si>
  <si>
    <t>Projects</t>
  </si>
  <si>
    <t>Operational Supplies</t>
  </si>
  <si>
    <t>Counselor Supplies</t>
  </si>
  <si>
    <t>Grants</t>
  </si>
  <si>
    <t xml:space="preserve">Grants - Title </t>
  </si>
  <si>
    <t>Title Funded Projects</t>
  </si>
  <si>
    <t>Vehicle Expenses/Rentals</t>
  </si>
  <si>
    <t xml:space="preserve">Facilities </t>
  </si>
  <si>
    <t>Impact Aid</t>
  </si>
  <si>
    <t>Scholarship Award</t>
  </si>
  <si>
    <t>Student Activities</t>
  </si>
  <si>
    <t>Student Activity</t>
  </si>
  <si>
    <t>Donations/Fundraisers</t>
  </si>
  <si>
    <t>Library Fees</t>
  </si>
  <si>
    <t xml:space="preserve">PPR  </t>
  </si>
  <si>
    <t>Net Operating Change to Fund Balance</t>
  </si>
  <si>
    <t>Promotion Ceremony</t>
  </si>
  <si>
    <t>Printing and Binding</t>
  </si>
  <si>
    <t>SPED Insurance</t>
  </si>
  <si>
    <t>Instructional Supplies</t>
  </si>
  <si>
    <t>Textbooks</t>
  </si>
  <si>
    <t xml:space="preserve">Library Books/Subscriptions </t>
  </si>
  <si>
    <t>Instructional Tech Supplies</t>
  </si>
  <si>
    <t>Instructional Expenses</t>
  </si>
  <si>
    <t>Instructional Services</t>
  </si>
  <si>
    <t>Library Books</t>
  </si>
  <si>
    <t>Tech Supplies</t>
  </si>
  <si>
    <t xml:space="preserve">       Total School Administration</t>
  </si>
  <si>
    <t xml:space="preserve">Operation and Maintenance of Plant  </t>
  </si>
  <si>
    <t xml:space="preserve">Business Services </t>
  </si>
  <si>
    <t xml:space="preserve">General Administration Services  </t>
  </si>
  <si>
    <t xml:space="preserve">Student Support Services </t>
  </si>
  <si>
    <t xml:space="preserve">Instructional Program  </t>
  </si>
  <si>
    <t xml:space="preserve">Instructional Staff Support Services </t>
  </si>
  <si>
    <t>Grant Revenue</t>
  </si>
  <si>
    <t>Title Grants</t>
  </si>
  <si>
    <t>Management Fee</t>
  </si>
  <si>
    <t xml:space="preserve">       Total Revenue</t>
  </si>
  <si>
    <t>Yearbook</t>
  </si>
  <si>
    <t>Student Activity Fund</t>
  </si>
  <si>
    <t>Student Accounts</t>
  </si>
  <si>
    <t>Graduation Supplies/Sr. Dinner</t>
  </si>
  <si>
    <t>Total</t>
  </si>
  <si>
    <t>HS</t>
  </si>
  <si>
    <t>MS</t>
  </si>
  <si>
    <t>ES</t>
  </si>
  <si>
    <t xml:space="preserve">   Instructional Salaries</t>
  </si>
  <si>
    <t xml:space="preserve">   Substitute Salaries</t>
  </si>
  <si>
    <t xml:space="preserve">   Extra Duty</t>
  </si>
  <si>
    <t xml:space="preserve">       Total Salaries</t>
  </si>
  <si>
    <t>Benefits</t>
  </si>
  <si>
    <t xml:space="preserve">   Medicare</t>
  </si>
  <si>
    <t xml:space="preserve">   Pera</t>
  </si>
  <si>
    <t xml:space="preserve">   Health Benefits</t>
  </si>
  <si>
    <t xml:space="preserve">       Total Benefits</t>
  </si>
  <si>
    <t>Regular Salaries</t>
  </si>
  <si>
    <t>Merit Pay /Christmas Bonus</t>
  </si>
  <si>
    <t>Medicare</t>
  </si>
  <si>
    <t>Pera</t>
  </si>
  <si>
    <t>Health Benefits</t>
  </si>
  <si>
    <t>Tutoring</t>
  </si>
  <si>
    <t>Instructional Staff Support</t>
  </si>
  <si>
    <t>CEO Training</t>
  </si>
  <si>
    <t>CEO Discretionary</t>
  </si>
  <si>
    <t xml:space="preserve">Legal </t>
  </si>
  <si>
    <t xml:space="preserve">Contingency </t>
  </si>
  <si>
    <t>Business Administration</t>
  </si>
  <si>
    <t>CFO Misc</t>
  </si>
  <si>
    <t>Business Office Supplies</t>
  </si>
  <si>
    <t>Operation and Maintenance</t>
  </si>
  <si>
    <t>Instructional Professional Services</t>
  </si>
  <si>
    <t>Business Administration Fees</t>
  </si>
  <si>
    <t>Building and Grounds Fees</t>
  </si>
  <si>
    <t>Central Support Fees</t>
  </si>
  <si>
    <t>Professional Services</t>
  </si>
  <si>
    <t>Management Fees</t>
  </si>
  <si>
    <t xml:space="preserve">  Total paid to CMO</t>
  </si>
  <si>
    <t>Student Support Prof Serv</t>
  </si>
  <si>
    <t>Instructional Staff Prof Serv</t>
  </si>
  <si>
    <t>School Admin Professional Serv</t>
  </si>
  <si>
    <t>Facilities Lease</t>
  </si>
  <si>
    <t>Athletics</t>
  </si>
  <si>
    <t>Gate</t>
  </si>
  <si>
    <t>Concessions</t>
  </si>
  <si>
    <t>Fundraisers</t>
  </si>
  <si>
    <t>Booster Club</t>
  </si>
  <si>
    <t>Donations</t>
  </si>
  <si>
    <t>Transportation Fees</t>
  </si>
  <si>
    <t>Sports Fees</t>
  </si>
  <si>
    <t>Operations Professional Services</t>
  </si>
  <si>
    <t>Buildings and Grounds JI Professional Services</t>
  </si>
  <si>
    <t xml:space="preserve">          Total Instructional Salaries and Benefits</t>
  </si>
  <si>
    <t>Miscellaneous/facilities rental income</t>
  </si>
  <si>
    <t xml:space="preserve">     Sub Total G&amp;A Prof Serv.</t>
  </si>
  <si>
    <t>College Counseling</t>
  </si>
  <si>
    <t>Testing Fees</t>
  </si>
  <si>
    <t>Senate</t>
  </si>
  <si>
    <t>NHS</t>
  </si>
  <si>
    <t>Total Athletics</t>
  </si>
  <si>
    <t>Management Services</t>
  </si>
  <si>
    <t>HS Athletics</t>
  </si>
  <si>
    <t>Coaches Payroll</t>
  </si>
  <si>
    <t>Referee</t>
  </si>
  <si>
    <t>Athletic fundraising expense</t>
  </si>
  <si>
    <t xml:space="preserve">Athletic concession expense </t>
  </si>
  <si>
    <t>Misc. Athletic expenses</t>
  </si>
  <si>
    <t>Athletic dues and fees</t>
  </si>
  <si>
    <t>Athletic Telephone</t>
  </si>
  <si>
    <t xml:space="preserve">Tech Support Services </t>
  </si>
  <si>
    <t>Tech Support Services</t>
  </si>
  <si>
    <t xml:space="preserve">     Board Training/meetings</t>
  </si>
  <si>
    <t xml:space="preserve">     Legal</t>
  </si>
  <si>
    <t xml:space="preserve">     Bank fees</t>
  </si>
  <si>
    <t xml:space="preserve">     Marketing/PR</t>
  </si>
  <si>
    <t xml:space="preserve">     Technology</t>
  </si>
  <si>
    <t>CMO Donations</t>
  </si>
  <si>
    <t>Grant Program - Title</t>
  </si>
  <si>
    <t>CMO</t>
  </si>
  <si>
    <t xml:space="preserve">JICA </t>
  </si>
  <si>
    <t>allocation</t>
  </si>
  <si>
    <t>Total Allocation of Expenses</t>
  </si>
  <si>
    <t xml:space="preserve">     Sub-total</t>
  </si>
  <si>
    <t>Link Club</t>
  </si>
  <si>
    <t>JICA</t>
  </si>
  <si>
    <t>Health</t>
  </si>
  <si>
    <t xml:space="preserve">Net Annual Change </t>
  </si>
  <si>
    <t xml:space="preserve">     Professional development</t>
  </si>
  <si>
    <t>CMO expenses</t>
  </si>
  <si>
    <t>ECEA</t>
  </si>
  <si>
    <t>IDEA</t>
  </si>
  <si>
    <t>lease as a percent of PPR</t>
  </si>
  <si>
    <t>Nursing Services</t>
  </si>
  <si>
    <t>salaries and benefits</t>
  </si>
  <si>
    <t>General fund office supplies</t>
  </si>
  <si>
    <t xml:space="preserve">Printing and Binding   </t>
  </si>
  <si>
    <t>SPED Services</t>
  </si>
  <si>
    <t>Read Act Grant</t>
  </si>
  <si>
    <t>Student transportation</t>
  </si>
  <si>
    <t>Non Student transportation</t>
  </si>
  <si>
    <t>GT</t>
  </si>
  <si>
    <t>SPED Supplies</t>
  </si>
  <si>
    <t xml:space="preserve">Staff Development </t>
  </si>
  <si>
    <t>Professional Services-cmo</t>
  </si>
  <si>
    <t>Senior Dinner</t>
  </si>
  <si>
    <t>Anticipated at risk refund</t>
  </si>
  <si>
    <t>Fund Balance Brought Forward</t>
  </si>
  <si>
    <t>total salary</t>
  </si>
  <si>
    <t>ELPA</t>
  </si>
  <si>
    <t>Purchased Services</t>
  </si>
  <si>
    <t>S&amp;B  as a percent of PPR</t>
  </si>
  <si>
    <t xml:space="preserve">     Audit</t>
  </si>
  <si>
    <t>CMO Audit</t>
  </si>
  <si>
    <t>Total General Administration</t>
  </si>
  <si>
    <t>General Administration Services</t>
  </si>
  <si>
    <t>Liability CMO</t>
  </si>
  <si>
    <t>Library: book repair/replace</t>
  </si>
  <si>
    <t>dif</t>
  </si>
  <si>
    <t>changes from apporved</t>
  </si>
  <si>
    <t>HS Supplies should be $5,833</t>
  </si>
  <si>
    <t>postage s/b 3,600</t>
  </si>
  <si>
    <t>15/15/15/15/40</t>
  </si>
  <si>
    <t xml:space="preserve">Curriculum </t>
  </si>
  <si>
    <t xml:space="preserve">     Staff Events</t>
  </si>
  <si>
    <t>Purchased Tech Services</t>
  </si>
  <si>
    <t>Services rendered</t>
  </si>
  <si>
    <t>CMO Other (incl: Financial Services Fees)</t>
  </si>
  <si>
    <t>Instructional Salaries</t>
  </si>
  <si>
    <t>PERA</t>
  </si>
  <si>
    <t>Extra Duty</t>
  </si>
  <si>
    <t>Substitutes</t>
  </si>
  <si>
    <t xml:space="preserve">     Vehicles</t>
  </si>
  <si>
    <t>Transportation</t>
  </si>
  <si>
    <t>Gas</t>
  </si>
  <si>
    <t xml:space="preserve">Maintenance </t>
  </si>
  <si>
    <t xml:space="preserve">       Total Transportation</t>
  </si>
  <si>
    <t>Gasoline</t>
  </si>
  <si>
    <t>Maintenance</t>
  </si>
  <si>
    <t>Transportation fees</t>
  </si>
  <si>
    <t>Lunch Program</t>
  </si>
  <si>
    <t>$175 pp</t>
  </si>
  <si>
    <t>Sub-total Professional Services</t>
  </si>
  <si>
    <t xml:space="preserve">     Telephone - CMO</t>
  </si>
  <si>
    <t>total Transportation</t>
  </si>
  <si>
    <t>student support pera</t>
  </si>
  <si>
    <r>
      <t xml:space="preserve">bussing to </t>
    </r>
    <r>
      <rPr>
        <i/>
        <sz val="11"/>
        <rFont val="Calibri"/>
        <family val="2"/>
      </rPr>
      <t xml:space="preserve"> JICA</t>
    </r>
  </si>
  <si>
    <t>Professional Services from JI</t>
  </si>
  <si>
    <t>Enrollment FTE</t>
  </si>
  <si>
    <t>Per Pupil Revenue PPR</t>
  </si>
  <si>
    <t>YTD Aug</t>
  </si>
  <si>
    <t>bal  Sept</t>
  </si>
  <si>
    <t>Read Act</t>
  </si>
  <si>
    <t>READ Act</t>
  </si>
  <si>
    <t>Tech instructional supplies - general fund</t>
  </si>
  <si>
    <t>Security Guard</t>
  </si>
  <si>
    <t>Compatibility Report for September 30, 2014 Statements Final.xls</t>
  </si>
  <si>
    <t>Run on 10/22/2014 10:01</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</si>
  <si>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</si>
  <si>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</si>
  <si>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</si>
  <si>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</si>
  <si>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</si>
  <si>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</si>
  <si>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50/50</t>
  </si>
  <si>
    <t xml:space="preserve">     Contingency Expense </t>
  </si>
  <si>
    <t xml:space="preserve">  </t>
  </si>
  <si>
    <t>Board Expenses</t>
  </si>
  <si>
    <t>Christmas Bonus</t>
  </si>
  <si>
    <t>15-16</t>
  </si>
  <si>
    <t>Projected unrestricted balance</t>
  </si>
  <si>
    <t>Projected Total Fund Balance</t>
  </si>
  <si>
    <t>Christmas Bonuses</t>
  </si>
  <si>
    <t xml:space="preserve">Instructional Supplies </t>
  </si>
  <si>
    <t>School Fundraisers</t>
  </si>
  <si>
    <t>Projected Year End Fund Balance</t>
  </si>
  <si>
    <t>Student Fieldtrips</t>
  </si>
  <si>
    <t>adj'd based on CSI estimates</t>
  </si>
  <si>
    <t>CSI/CDE Admin Expense</t>
  </si>
  <si>
    <t xml:space="preserve">      Sub-total Professional Services</t>
  </si>
  <si>
    <t>NJHS</t>
  </si>
  <si>
    <t>NJHS DC</t>
  </si>
  <si>
    <t>Advertising/gazette</t>
  </si>
  <si>
    <t>Advertising/Gazette</t>
  </si>
  <si>
    <t>Lobbyist</t>
  </si>
  <si>
    <t>Band Reeds/instr supplies</t>
  </si>
  <si>
    <t>Title I</t>
  </si>
  <si>
    <t>Title Parent Meetings - supplies</t>
  </si>
  <si>
    <t xml:space="preserve">   Merit Pay</t>
  </si>
  <si>
    <t xml:space="preserve">assessments </t>
  </si>
  <si>
    <t>Bldgs. and Grounds JI Prof Services</t>
  </si>
  <si>
    <t>Athletic supplies</t>
  </si>
  <si>
    <t>Projected TABOR Requirement:</t>
  </si>
  <si>
    <t xml:space="preserve">          Total Instructional Support Serv </t>
  </si>
  <si>
    <t>$520 pp HS has 234</t>
  </si>
  <si>
    <t>Companssion House</t>
  </si>
  <si>
    <t>Resiliance</t>
  </si>
  <si>
    <t>Courage</t>
  </si>
  <si>
    <t xml:space="preserve">(incl: taekwondo) </t>
  </si>
  <si>
    <t>Field and Gym Rental</t>
  </si>
  <si>
    <t>Respect</t>
  </si>
  <si>
    <t>Donations/grants/Other</t>
  </si>
  <si>
    <t>PTEC</t>
  </si>
  <si>
    <t xml:space="preserve"> 15-16</t>
  </si>
  <si>
    <t>12/12/12/12/12/40</t>
  </si>
  <si>
    <t>CDE Grant</t>
  </si>
  <si>
    <t>CDE Grant Instructional Expenses</t>
  </si>
  <si>
    <t>CDE Grant Staff Development</t>
  </si>
  <si>
    <t>CDE Grant Supplies</t>
  </si>
  <si>
    <t>CDE Grant Equipment</t>
  </si>
  <si>
    <t>CDE Grant Technology</t>
  </si>
  <si>
    <t>Merit Pay</t>
  </si>
  <si>
    <t xml:space="preserve">Students Tuition Reimbursements </t>
  </si>
  <si>
    <t xml:space="preserve">SPED </t>
  </si>
  <si>
    <t>lease</t>
  </si>
  <si>
    <t>16-17 Apr 1</t>
  </si>
  <si>
    <t>Notes</t>
  </si>
  <si>
    <t>add: concurrent</t>
  </si>
  <si>
    <t>ELPA Supplies</t>
  </si>
  <si>
    <t>16-17  Approved</t>
  </si>
  <si>
    <t>add: oregon $5,500</t>
  </si>
  <si>
    <t>Instructional Tech Supplies-gen fund</t>
  </si>
  <si>
    <t>16-17 Appv'd</t>
  </si>
  <si>
    <t>Additioanl at risk refund</t>
  </si>
  <si>
    <t>Workmans comp deductible</t>
  </si>
  <si>
    <t>At Risk refund</t>
  </si>
  <si>
    <t>at risk refund</t>
  </si>
  <si>
    <t>Grants - Elpa</t>
  </si>
  <si>
    <t>$520 pp in district</t>
  </si>
  <si>
    <t>8,050 + 3,200</t>
  </si>
  <si>
    <t>D49 Admin Expense</t>
  </si>
  <si>
    <t>Board Approved:  Parking Lot</t>
  </si>
  <si>
    <t xml:space="preserve">                                    Vehicles</t>
  </si>
  <si>
    <t>Total Change to Fund Balance</t>
  </si>
  <si>
    <t>Projected June 30, 2017 Fund Balance</t>
  </si>
  <si>
    <t>CDE Grant Advertising/Gazette</t>
  </si>
  <si>
    <t>YTD CDE GRANT   EXPENSES</t>
  </si>
  <si>
    <t xml:space="preserve">     Closing Costs/new loan</t>
  </si>
  <si>
    <t>10.6 of PPR</t>
  </si>
  <si>
    <t>$29,630 per month</t>
  </si>
  <si>
    <t>$31,824 per month</t>
  </si>
  <si>
    <t>$28,533 per month</t>
  </si>
  <si>
    <t>Instructional Supplies - ELPA</t>
  </si>
  <si>
    <t>Training</t>
  </si>
  <si>
    <t>Donations/Other Revenue</t>
  </si>
  <si>
    <t>Student Activity/fundraising Expense</t>
  </si>
  <si>
    <t>General Fund Staff Development</t>
  </si>
  <si>
    <t>General Fund Advertising</t>
  </si>
  <si>
    <t>Mileage Reimbursement</t>
  </si>
  <si>
    <t>Vehicles/gas</t>
  </si>
  <si>
    <t>Tabor requirements</t>
  </si>
  <si>
    <t>James Irwin Charter School Grant</t>
  </si>
  <si>
    <t>PTEC Grant</t>
  </si>
  <si>
    <t>(incl PTEC 15-16 loss)</t>
  </si>
  <si>
    <t>on behalf of PTEC</t>
  </si>
  <si>
    <t>PTEC grant</t>
  </si>
  <si>
    <t>Dependability</t>
  </si>
  <si>
    <t>Student Services</t>
  </si>
  <si>
    <t>Total PTEC School Expenses</t>
  </si>
  <si>
    <t>incl new PT Asst-READ</t>
  </si>
  <si>
    <t xml:space="preserve">Lobbyist  </t>
  </si>
  <si>
    <t>ELPA Grant</t>
  </si>
  <si>
    <t xml:space="preserve">incl ELPA; READ asst.  </t>
  </si>
  <si>
    <t>$520 pp ES has 296</t>
  </si>
  <si>
    <t>(incl in fundraising)</t>
  </si>
  <si>
    <t>offset by activ &amp; fundr</t>
  </si>
  <si>
    <t>ELPA extra duty</t>
  </si>
  <si>
    <t xml:space="preserve">                                    Astrozon Build out bal</t>
  </si>
  <si>
    <t>Astrozon Build out balance</t>
  </si>
  <si>
    <t>incl: $2,017 Title III</t>
  </si>
  <si>
    <t>(D 49)</t>
  </si>
  <si>
    <t>$25,818 per month</t>
  </si>
  <si>
    <t>(plus $15,039/closing)</t>
  </si>
  <si>
    <t>House Revenue</t>
  </si>
  <si>
    <t xml:space="preserve">Fundraisers/Donations </t>
  </si>
  <si>
    <t>Other District Purchased Services</t>
  </si>
  <si>
    <t>(see instruction Supplies)</t>
  </si>
  <si>
    <t>Spring Creek D11</t>
  </si>
  <si>
    <t>(-2,000; -296)</t>
  </si>
  <si>
    <t>add: $1,700 fundraising</t>
  </si>
  <si>
    <t>Elementary School Salaries and Benefits</t>
  </si>
  <si>
    <t>Middle School Salaries and Benefits</t>
  </si>
  <si>
    <t>High School Salaries and Benefits</t>
  </si>
  <si>
    <t>JICA Salaries and Benefits</t>
  </si>
  <si>
    <t>PTEC Salaries and Benefits</t>
  </si>
  <si>
    <t>Salaries and Benefits</t>
  </si>
  <si>
    <t>Administrative Services and Fees Revenue</t>
  </si>
  <si>
    <t xml:space="preserve">JI Elementary School </t>
  </si>
  <si>
    <t xml:space="preserve">JI Middle School  </t>
  </si>
  <si>
    <t xml:space="preserve">JI High School  </t>
  </si>
  <si>
    <t>State Grants</t>
  </si>
  <si>
    <t>Federal Grants</t>
  </si>
  <si>
    <t>Instructional Salaries and Benefits</t>
  </si>
  <si>
    <t xml:space="preserve">JICS Management </t>
  </si>
  <si>
    <t>Transportation Expenses</t>
  </si>
  <si>
    <t xml:space="preserve">     Sub-total Transportation  </t>
  </si>
  <si>
    <t>Federal Grants/Impact Aid</t>
  </si>
  <si>
    <t>JICS Management</t>
  </si>
  <si>
    <t>Repair and Mantenance</t>
  </si>
  <si>
    <t>Insurance Premiums</t>
  </si>
  <si>
    <t>Federal Grants/Impance Aid</t>
  </si>
  <si>
    <t>Student Funds</t>
  </si>
  <si>
    <t>JICS Management Services and Fees</t>
  </si>
  <si>
    <t>JICA Management Services and Fees</t>
  </si>
  <si>
    <t>Federal Grant</t>
  </si>
  <si>
    <t>Management Services and Fees</t>
  </si>
  <si>
    <t>Purchased Services - Board</t>
  </si>
  <si>
    <t>Purchased Service</t>
  </si>
  <si>
    <t>Inaurance Premiums</t>
  </si>
  <si>
    <t>CCS is $2,500/mo</t>
  </si>
  <si>
    <t>Sincerity</t>
  </si>
  <si>
    <t>Legal</t>
  </si>
  <si>
    <t>(to D 49 app review)</t>
  </si>
  <si>
    <t>House Activity</t>
  </si>
  <si>
    <t>Virtue</t>
  </si>
  <si>
    <t>Wisdon</t>
  </si>
  <si>
    <t>($52,057) loss in CMO BBF</t>
  </si>
  <si>
    <t>(incl: $350 donation)</t>
  </si>
  <si>
    <t>less: $350 donation</t>
  </si>
  <si>
    <t>($6,903 CDE grant)</t>
  </si>
  <si>
    <t>Amended Budget</t>
  </si>
  <si>
    <t>Projected Year-End</t>
  </si>
  <si>
    <t>Staff Development-ELPA</t>
  </si>
  <si>
    <t>Donations/Other</t>
  </si>
  <si>
    <t>(incl: sale of roof hatch)</t>
  </si>
  <si>
    <t>offset by house rev</t>
  </si>
  <si>
    <t>17-18 draft</t>
  </si>
  <si>
    <t>merit pay wb</t>
  </si>
  <si>
    <t>CTE Salary Reimbursment</t>
  </si>
  <si>
    <t>(25% of salary)</t>
  </si>
  <si>
    <t>MLO</t>
  </si>
  <si>
    <t>(see inst staff supp sal)</t>
  </si>
  <si>
    <t>title I</t>
  </si>
  <si>
    <t>(15% of PPR)</t>
  </si>
  <si>
    <t>(10.6% of PPR)</t>
  </si>
  <si>
    <t>10.5% of PPR</t>
  </si>
  <si>
    <t>10.3% of PPR</t>
  </si>
  <si>
    <t>10.4% of PPR</t>
  </si>
  <si>
    <t>Students Tuition  - concurrent</t>
  </si>
  <si>
    <t>plus $40 concurrent</t>
  </si>
  <si>
    <t>Concurrent expense grant</t>
  </si>
  <si>
    <t>17-18 Approved</t>
  </si>
  <si>
    <t>plus $150</t>
  </si>
  <si>
    <t>plus $178</t>
  </si>
  <si>
    <t>(May is 2.5%: $ + $191)</t>
  </si>
  <si>
    <t>max 536</t>
  </si>
  <si>
    <t>max 460</t>
  </si>
  <si>
    <t>max 425</t>
  </si>
  <si>
    <t>max 330</t>
  </si>
  <si>
    <t>max 340</t>
  </si>
  <si>
    <t>Apr Projected 16-17  Year-End</t>
  </si>
  <si>
    <t>2.6% increase</t>
  </si>
  <si>
    <t>SPED Purchased Services</t>
  </si>
  <si>
    <t>Athletic Coaches Salary</t>
  </si>
  <si>
    <t>(+$9.500 grant extra duty0</t>
  </si>
  <si>
    <t>FTE</t>
  </si>
  <si>
    <t>REVENUE</t>
  </si>
  <si>
    <t>CTE Reimbursment</t>
  </si>
  <si>
    <t>At risk refund</t>
  </si>
  <si>
    <t>Concurrent exp grant</t>
  </si>
  <si>
    <t>EXPENSES</t>
  </si>
  <si>
    <t>MLO Funded Programs</t>
  </si>
  <si>
    <t>Athletic Program</t>
  </si>
  <si>
    <t>Tutoring/services</t>
  </si>
  <si>
    <t>Nursing</t>
  </si>
  <si>
    <t>Lunch Services</t>
  </si>
  <si>
    <t>Students Tuition</t>
  </si>
  <si>
    <t>Marketing/Advertising</t>
  </si>
  <si>
    <t>Board Meetings</t>
  </si>
  <si>
    <t>Professional Development</t>
  </si>
  <si>
    <t>Contingency</t>
  </si>
  <si>
    <t>Authorizor Fees</t>
  </si>
  <si>
    <t>Other Purchased Services</t>
  </si>
  <si>
    <t>Graduation/Promotion</t>
  </si>
  <si>
    <t>Vehicle expenses/rentals</t>
  </si>
  <si>
    <t>Dues</t>
  </si>
  <si>
    <t xml:space="preserve">Gas </t>
  </si>
  <si>
    <t>Tech equipment/supplies</t>
  </si>
  <si>
    <t>Building lease</t>
  </si>
  <si>
    <t>Net Change to Fund Balance</t>
  </si>
  <si>
    <t>Fund Balance brought forward:</t>
  </si>
  <si>
    <t>legal</t>
  </si>
  <si>
    <t>5/5's</t>
  </si>
  <si>
    <t>Vehicle</t>
  </si>
  <si>
    <t>gas</t>
  </si>
  <si>
    <t>maintnance</t>
  </si>
  <si>
    <t>Liability</t>
  </si>
  <si>
    <t xml:space="preserve">Title </t>
  </si>
  <si>
    <t>Title - salaries</t>
  </si>
  <si>
    <t>ES Coordinator (CSI)</t>
  </si>
  <si>
    <t>Total Revenue</t>
  </si>
  <si>
    <t>Year-to-Date</t>
  </si>
  <si>
    <t>JAMES IRWIN CHARTER SCHOOLS</t>
  </si>
  <si>
    <t>HIGH SCHOOL</t>
  </si>
  <si>
    <t>Employee Benefits</t>
  </si>
  <si>
    <t>Elementary School</t>
  </si>
  <si>
    <t>ES Coordinator</t>
  </si>
  <si>
    <t>Staff Development-Title/elpa</t>
  </si>
  <si>
    <t>MLO Program</t>
  </si>
  <si>
    <t>Tutoring services/Purchased Serv</t>
  </si>
  <si>
    <t>Supplies</t>
  </si>
  <si>
    <t xml:space="preserve"> JICA </t>
  </si>
  <si>
    <t>JIES</t>
  </si>
  <si>
    <t>JIMS</t>
  </si>
  <si>
    <t>JIHS</t>
  </si>
  <si>
    <t xml:space="preserve"> Assets </t>
  </si>
  <si>
    <t xml:space="preserve">   </t>
  </si>
  <si>
    <t xml:space="preserve"> Colotrust</t>
  </si>
  <si>
    <t xml:space="preserve"> Savings/MM </t>
  </si>
  <si>
    <t xml:space="preserve"> Vectra On-line Receipts </t>
  </si>
  <si>
    <t xml:space="preserve"> Certificates of Deposits </t>
  </si>
  <si>
    <t xml:space="preserve"> Accounts Receivable  </t>
  </si>
  <si>
    <t xml:space="preserve">    Total Assets </t>
  </si>
  <si>
    <t xml:space="preserve"> Liabilities </t>
  </si>
  <si>
    <t xml:space="preserve"> Accounts Payable </t>
  </si>
  <si>
    <t xml:space="preserve"> P/R Liabilities  </t>
  </si>
  <si>
    <t xml:space="preserve"> Deferred Revenue </t>
  </si>
  <si>
    <t xml:space="preserve"> Accrued Salaries </t>
  </si>
  <si>
    <t xml:space="preserve"> Other Accrued Liabilities </t>
  </si>
  <si>
    <t xml:space="preserve">    Total Liabilities </t>
  </si>
  <si>
    <t xml:space="preserve"> Fund Balance </t>
  </si>
  <si>
    <t xml:space="preserve"> Fund Balance: </t>
  </si>
  <si>
    <t xml:space="preserve">    General Fund - Fund 11 </t>
  </si>
  <si>
    <t xml:space="preserve">    Student Accounts - Fund 74 </t>
  </si>
  <si>
    <t xml:space="preserve"> Total Beginning Fund Balance </t>
  </si>
  <si>
    <t xml:space="preserve"> Annual Net Change to Fund Balance </t>
  </si>
  <si>
    <t xml:space="preserve">    Total Fund Balance </t>
  </si>
  <si>
    <t xml:space="preserve">    Total Liabilities and Fund Balance </t>
  </si>
  <si>
    <t xml:space="preserve"> Vectra Operating Account</t>
  </si>
  <si>
    <t xml:space="preserve"> Vectra Checking</t>
  </si>
  <si>
    <t>MIDDLE SCHOOL</t>
  </si>
  <si>
    <t>Ranch/Camp</t>
  </si>
  <si>
    <t>Camp</t>
  </si>
  <si>
    <t>Frontier Ranch</t>
  </si>
  <si>
    <t>Fronter Ranch</t>
  </si>
  <si>
    <t>READ (supplies and extra duty)</t>
  </si>
  <si>
    <t>Vehicle Purchases</t>
  </si>
  <si>
    <t xml:space="preserve">Business Administration </t>
  </si>
  <si>
    <t xml:space="preserve">Building and Grounds </t>
  </si>
  <si>
    <t xml:space="preserve">Central Support </t>
  </si>
  <si>
    <t xml:space="preserve">School Administration </t>
  </si>
  <si>
    <t>Student Sales/store</t>
  </si>
  <si>
    <t>Student Support  Services</t>
  </si>
  <si>
    <t xml:space="preserve">PPR </t>
  </si>
  <si>
    <t>Apr 1 budget</t>
  </si>
  <si>
    <t>October</t>
  </si>
  <si>
    <t>Jul - Sept</t>
  </si>
  <si>
    <t>Nov</t>
  </si>
  <si>
    <t>Dec</t>
  </si>
  <si>
    <t>Jan</t>
  </si>
  <si>
    <t>Feb</t>
  </si>
  <si>
    <t>Mar</t>
  </si>
  <si>
    <t>Apr</t>
  </si>
  <si>
    <t xml:space="preserve">May </t>
  </si>
  <si>
    <t>Jun</t>
  </si>
  <si>
    <t xml:space="preserve">Nov </t>
  </si>
  <si>
    <t>May</t>
  </si>
  <si>
    <t xml:space="preserve">Mar </t>
  </si>
  <si>
    <t xml:space="preserve">Apr </t>
  </si>
  <si>
    <t>Jul - Sep</t>
  </si>
  <si>
    <t xml:space="preserve">October </t>
  </si>
  <si>
    <t>incl: $7355 Transp</t>
  </si>
  <si>
    <t>Student and Transportation Fees &amp; reimbursem</t>
  </si>
  <si>
    <t>Authorizer Fees</t>
  </si>
  <si>
    <t>Staff Development-grant</t>
  </si>
  <si>
    <t>Title II, III extra duty</t>
  </si>
  <si>
    <t>incl interest; Dec donat</t>
  </si>
  <si>
    <t>incl telephones</t>
  </si>
  <si>
    <t>incl fence</t>
  </si>
  <si>
    <t>incl staff events</t>
  </si>
  <si>
    <t>add fundraisers</t>
  </si>
  <si>
    <t>Dues/fees</t>
  </si>
  <si>
    <t xml:space="preserve">Central Support  </t>
  </si>
  <si>
    <t xml:space="preserve">General Administration  </t>
  </si>
  <si>
    <t xml:space="preserve">Building and Grounds  </t>
  </si>
  <si>
    <t>General Administration</t>
  </si>
  <si>
    <t xml:space="preserve">Addt'l at Risk </t>
  </si>
  <si>
    <t>Tuskegee Donations</t>
  </si>
  <si>
    <t>(no chg in Jan or Apr)</t>
  </si>
  <si>
    <t xml:space="preserve">      donations</t>
  </si>
  <si>
    <t xml:space="preserve">reclass $1,794.67 from </t>
  </si>
  <si>
    <t>add; $125 from donations</t>
  </si>
  <si>
    <t>17-18 Budget   FINAL</t>
  </si>
  <si>
    <t>18-19 Budget   APRIL</t>
  </si>
  <si>
    <t>Transportation/Impact Aid</t>
  </si>
  <si>
    <t>Projected June 30, 2019 bal</t>
  </si>
  <si>
    <t xml:space="preserve">READ Act </t>
  </si>
  <si>
    <t>Brd Approved:  Bus</t>
  </si>
  <si>
    <t>Board Approved:  Flooring</t>
  </si>
  <si>
    <t>Total Operating Expenses</t>
  </si>
  <si>
    <t>Modular Unit Fndt/set up</t>
  </si>
  <si>
    <t>Assessments</t>
  </si>
  <si>
    <t>Total Annual Change:</t>
  </si>
  <si>
    <t>Projected Ending FB</t>
  </si>
  <si>
    <t>Staff Development-Grant</t>
  </si>
  <si>
    <t>Grant related exp's (Bldrs)</t>
  </si>
  <si>
    <t>Grant expenses (BLDRS)</t>
  </si>
  <si>
    <t>Total School Operating Expenses</t>
  </si>
  <si>
    <t>Vehicles</t>
  </si>
  <si>
    <t>Modular</t>
  </si>
  <si>
    <t>Total Annual Expenses</t>
  </si>
  <si>
    <t>Board Capital Projects</t>
  </si>
  <si>
    <t>Board Approved Capital Projects:</t>
  </si>
  <si>
    <t xml:space="preserve">18-19 Budget    JUNE </t>
  </si>
  <si>
    <t>Tutoring/Grant</t>
  </si>
  <si>
    <t>July</t>
  </si>
  <si>
    <t>Aug</t>
  </si>
  <si>
    <t>Sept</t>
  </si>
  <si>
    <t>Oct</t>
  </si>
  <si>
    <t>Student Activity Accounts</t>
  </si>
  <si>
    <t xml:space="preserve">General Administration </t>
  </si>
  <si>
    <t xml:space="preserve">Student Support </t>
  </si>
  <si>
    <t xml:space="preserve">Student Support  </t>
  </si>
  <si>
    <t xml:space="preserve">Business Administration  </t>
  </si>
  <si>
    <t xml:space="preserve">General Administration   </t>
  </si>
  <si>
    <t>Staff Development-Title/ELPA</t>
  </si>
  <si>
    <t>Projected days cash 06-30-19</t>
  </si>
  <si>
    <t xml:space="preserve"> Supplies</t>
  </si>
  <si>
    <t>S&amp;B</t>
  </si>
  <si>
    <t>as a % of PPR</t>
  </si>
  <si>
    <t>JIEF</t>
  </si>
  <si>
    <t>days Op cash on hand EOY:</t>
  </si>
  <si>
    <t xml:space="preserve">Concurrent grant/other </t>
  </si>
  <si>
    <t>Donations/Grants</t>
  </si>
  <si>
    <t>salary</t>
  </si>
  <si>
    <t>benefits</t>
  </si>
  <si>
    <t>supplies</t>
  </si>
  <si>
    <t>purchased services</t>
  </si>
  <si>
    <t>Approved Budget</t>
  </si>
  <si>
    <t>General and Administrative</t>
  </si>
  <si>
    <t>lease as a % of PPR</t>
  </si>
  <si>
    <t xml:space="preserve">James Irwin Charter Schools           </t>
  </si>
  <si>
    <t>Balance Sheet</t>
  </si>
  <si>
    <t>Oct Budget</t>
  </si>
  <si>
    <t>Year-End Projection</t>
  </si>
  <si>
    <t>18-19 Budget Oct</t>
  </si>
  <si>
    <t>Oct Approved</t>
  </si>
  <si>
    <t>18-19 Budget    Oct</t>
  </si>
  <si>
    <t>Graduation/Fundraising</t>
  </si>
  <si>
    <t>incl $5452 transport reimburse</t>
  </si>
  <si>
    <t>Graduation/Fundraiser(s)</t>
  </si>
  <si>
    <t>$7.5k to supplies; $16k to salaries</t>
  </si>
  <si>
    <t>(less$ 985 to instr supplies)</t>
  </si>
  <si>
    <t>include $984 wellness grant, impact aid 256</t>
  </si>
  <si>
    <t>Projects-&amp; MLO</t>
  </si>
  <si>
    <t>(added in January)</t>
  </si>
  <si>
    <t>storage trailors;; lobbyist;staff event</t>
  </si>
  <si>
    <t xml:space="preserve">Astrozon </t>
  </si>
  <si>
    <t>Bldg Fund</t>
  </si>
  <si>
    <t xml:space="preserve">    Restricted </t>
  </si>
  <si>
    <t>Schools</t>
  </si>
  <si>
    <t>February 28, 2019</t>
  </si>
  <si>
    <t xml:space="preserve">incl $17,500 BLDRS Assoc </t>
  </si>
  <si>
    <t>Bond Proceeds</t>
  </si>
  <si>
    <t>Library</t>
  </si>
  <si>
    <t>Fields</t>
  </si>
  <si>
    <t>BOND FUND</t>
  </si>
  <si>
    <t>in SPED line item</t>
  </si>
  <si>
    <t>incl $36,024 due for last year</t>
  </si>
  <si>
    <t>; lobbyist;staff event</t>
  </si>
  <si>
    <t xml:space="preserve"> wellness grant, impact aid ;  </t>
  </si>
  <si>
    <t>Student Support</t>
  </si>
  <si>
    <t>Spring Creek/title I H</t>
  </si>
  <si>
    <t>Student Activity accounts</t>
  </si>
  <si>
    <t xml:space="preserve">   Extra Duty - summer proj</t>
  </si>
  <si>
    <t>Total Transportation</t>
  </si>
  <si>
    <t>Saftey Project</t>
  </si>
  <si>
    <t>Safety Project</t>
  </si>
  <si>
    <t>incl $475 venue rental &amp; yr book</t>
  </si>
  <si>
    <t xml:space="preserve"> Sunflower MM</t>
  </si>
  <si>
    <t xml:space="preserve">Staff Bonus/merit </t>
  </si>
  <si>
    <t>Apr Budget</t>
  </si>
  <si>
    <t>October Draft</t>
  </si>
  <si>
    <t>Oct Draft</t>
  </si>
  <si>
    <t>DRAFT OCTOBER BUDGET</t>
  </si>
  <si>
    <t>D2 MLO pp</t>
  </si>
  <si>
    <t xml:space="preserve">     Board Designated Fnd Bal</t>
  </si>
  <si>
    <t xml:space="preserve">     JICA SPED restricted F B </t>
  </si>
  <si>
    <t xml:space="preserve">     Tabor Restricted F B </t>
  </si>
  <si>
    <t xml:space="preserve">     Unrestricted Fund Balance</t>
  </si>
  <si>
    <t xml:space="preserve">Projected BBF: </t>
  </si>
  <si>
    <t>new payroll tax</t>
  </si>
  <si>
    <t>Payroll Tax</t>
  </si>
  <si>
    <t>2 stages w sub-totals</t>
  </si>
  <si>
    <t>Drawing for Expansion</t>
  </si>
  <si>
    <t>incl $17k for JICA locks</t>
  </si>
  <si>
    <t>Anita Archer/Terry Dodds</t>
  </si>
  <si>
    <t>Instructional materials</t>
  </si>
  <si>
    <t>10% increase in insur.</t>
  </si>
  <si>
    <t xml:space="preserve">   Payroll Tax</t>
  </si>
  <si>
    <t>PTEC graduation fundraising</t>
  </si>
  <si>
    <t>D2: c/b $435-477 pp</t>
  </si>
  <si>
    <t>3.% increase in PPR</t>
  </si>
  <si>
    <t>CC</t>
  </si>
  <si>
    <t>19-20 APR APPROVED BUDGET</t>
  </si>
  <si>
    <t>State Kinder set up grant</t>
  </si>
  <si>
    <t>Student Activities/fundraising</t>
  </si>
  <si>
    <t>Daycare</t>
  </si>
  <si>
    <t>Safety/security grant</t>
  </si>
  <si>
    <t>Other Student Activities (74)</t>
  </si>
  <si>
    <t xml:space="preserve">Grant related student exp's  </t>
  </si>
  <si>
    <t xml:space="preserve">     sub-total</t>
  </si>
  <si>
    <t>Security grant projects</t>
  </si>
  <si>
    <t>Staff Daycare</t>
  </si>
  <si>
    <t>Annual Operating Change:</t>
  </si>
  <si>
    <t>Capital Projects</t>
  </si>
  <si>
    <t>Purchase of School Bus</t>
  </si>
  <si>
    <t>Build out of Modular</t>
  </si>
  <si>
    <t>JICA expansion drawing</t>
  </si>
  <si>
    <t>Complete MS lighting project</t>
  </si>
  <si>
    <t>Total change to fund balance:</t>
  </si>
  <si>
    <t>Kinder operation grant</t>
  </si>
  <si>
    <t>Security Grant</t>
  </si>
  <si>
    <t>Student  Fees</t>
  </si>
  <si>
    <t>Tutoring (suspended)</t>
  </si>
  <si>
    <t>Transportation  Reimburse</t>
  </si>
  <si>
    <t>ELPA supplies</t>
  </si>
  <si>
    <t>ELPA Tutoring</t>
  </si>
  <si>
    <t>Board Projects</t>
  </si>
  <si>
    <t xml:space="preserve">    Expansion drawing</t>
  </si>
  <si>
    <t xml:space="preserve">   New Bus</t>
  </si>
  <si>
    <t xml:space="preserve">   Build out of Modular</t>
  </si>
  <si>
    <t>Complete school lighting</t>
  </si>
  <si>
    <t>Staff Development ELPA/Title</t>
  </si>
  <si>
    <t>Projected June 30, 2020 bal</t>
  </si>
  <si>
    <t>Proj Fund Balance brought forward:</t>
  </si>
  <si>
    <t>Total Staff Daycare</t>
  </si>
  <si>
    <t>Transportation reimbursement</t>
  </si>
  <si>
    <t xml:space="preserve">Student   Fees  </t>
  </si>
  <si>
    <t>Security Grant Project</t>
  </si>
  <si>
    <t xml:space="preserve">    Total Annual Expenses</t>
  </si>
  <si>
    <t xml:space="preserve">Net Change to the Fund Balance </t>
  </si>
  <si>
    <t>Student Activi/fundraising</t>
  </si>
  <si>
    <t>incl storage unit- $10k</t>
  </si>
  <si>
    <t>incl: science tables</t>
  </si>
  <si>
    <t>custodial, HVAC, pest control</t>
  </si>
  <si>
    <t>chg each school $2,500 for safety at YE</t>
  </si>
  <si>
    <t>(currently all in HS)</t>
  </si>
  <si>
    <t xml:space="preserve"> Sunflower Operating</t>
  </si>
  <si>
    <t>Projected Debt service coverage :</t>
  </si>
  <si>
    <t xml:space="preserve">    Prepaid </t>
  </si>
  <si>
    <t xml:space="preserve">allocation of debt service </t>
  </si>
  <si>
    <t>August 31, 2019</t>
  </si>
  <si>
    <t xml:space="preserve">August 31, 2019  </t>
  </si>
  <si>
    <t xml:space="preserve">August 31, 2019 </t>
  </si>
  <si>
    <t>August  31, 2019</t>
  </si>
  <si>
    <t>0600; 0300</t>
  </si>
  <si>
    <t xml:space="preserve"> Arbiter Prepaid Expenses </t>
  </si>
  <si>
    <t>BBF A/L HS lease exp $5,888,4</t>
  </si>
  <si>
    <t xml:space="preserve">custodial, HVAC,  </t>
  </si>
  <si>
    <t>per G/L:</t>
  </si>
  <si>
    <t>Revenue YTD</t>
  </si>
  <si>
    <t>Expense YTD</t>
  </si>
  <si>
    <t>net:</t>
  </si>
  <si>
    <t>.</t>
  </si>
  <si>
    <t>balance sheet  total fund balance</t>
  </si>
  <si>
    <t>SHOULD BE:   3,176,737</t>
  </si>
  <si>
    <t xml:space="preserve">BALANCE SHEET YTD NET CHG IS </t>
  </si>
  <si>
    <t>merit pay</t>
  </si>
  <si>
    <t>28.5/25.3</t>
  </si>
  <si>
    <t>44.1/36.3</t>
  </si>
  <si>
    <t>40.5/32.4</t>
  </si>
  <si>
    <t>32.1/30</t>
  </si>
  <si>
    <t>26+23.5</t>
  </si>
  <si>
    <t>172/152</t>
  </si>
  <si>
    <t>incl kinder</t>
  </si>
  <si>
    <t>incl ELPA; title instr exp</t>
  </si>
  <si>
    <t>Other (incl fundraising)</t>
  </si>
  <si>
    <t xml:space="preserve">   Merit Pat</t>
  </si>
  <si>
    <t>Budget</t>
  </si>
  <si>
    <t>19-20 Budget</t>
  </si>
  <si>
    <t>April 1, 2019</t>
  </si>
  <si>
    <t>Per pupil expenses</t>
  </si>
  <si>
    <t>Summary of Expenses</t>
  </si>
  <si>
    <t xml:space="preserve">     total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</si>
</sst>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8" formatCode="_(* #,##0_);_(* \(#,##0\);_(* &quot;-&quot;??_);_(@_)"/>
    <numFmt numFmtId="170" formatCode="0.0%"/>
    <numFmt numFmtId="182" formatCode="_(&quot;$&quot;* #,##0_);_(&quot;$&quot;* \(#,##0\);_(&quot;$&quot;* &quot;-&quot;??_);_(@_)"/>
    <numFmt numFmtId="188" formatCode="_(* #,##0.0_);_(* \(#,##0.0\);_(* &quot;-&quot;_);_(@_)"/>
    <numFmt numFmtId="189" formatCode="_(* #,##0.00_);_(* \(#,##0.00\);_(* &quot;-&quot;_);_(@_)"/>
    <numFmt numFmtId="196" formatCode="_(* #,##0.000_);_(* \(#,##0.000\);_(* &quot;-&quot;_);_(@_)"/>
    <numFmt numFmtId="205" formatCode="[$-409]mmmm\ d\,\ yyyy;@"/>
  </numFmts>
  <fonts count="17" x14ac:knownFonts="1">
    <font>
      <sz val="10"/>
      <name val="Arial"/>
    </font>
    <font>
      <sz val="10"/>
      <name val="Arial"/>
    </font>
    <font>
      <sz val="10"/>
      <name val="Arial"/>
      <family val="2"/>
    </font>
    <font>
      <sz val="10"/>
      <name val="Arial"/>
      <family val="2"/>
    </font>
    <font>
      <i/>
      <sz val="11"/>
      <name val="Calibri"/>
      <family val="2"/>
    </font>
    <font>
      <b/>
      <sz val="10"/>
      <name val="Arial"/>
      <family val="2"/>
    </font>
    <font>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sz val="8"/>
      <name val="Calibri"/>
      <family val="2"/>
      <scheme val="minor"/>
    </font>
    <font>
      <b/>
      <i/>
      <sz val="11"/>
      <name val="Calibri"/>
      <family val="2"/>
      <scheme val="minor"/>
    </font>
    <font>
      <i/>
      <sz val="11"/>
      <name val="Calibri"/>
      <family val="2"/>
      <scheme val="minor"/>
    </font>
    <font>
      <sz val="10"/>
      <name val="Calibri"/>
      <family val="2"/>
      <scheme val="minor"/>
    </font>
    <font>
      <sz val="10"/>
      <color rgb="FFFF0000"/>
      <name val="Arial"/>
      <family val="2"/>
    </font>
    <font>
      <b/>
      <sz val="10"/>
      <color rgb="FFFF0000"/>
      <name val="Arial"/>
      <family val="2"/>
    </font>
  </fonts>
  <fills count="16">
    <fill>
      <patternFill patternType="none"/>
    </fill>
    <fill>
      <patternFill patternType="gray125"/>
    </fill>
    <fill>
      <patternFill patternType="solid">
        <fgColor indexed="4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C000"/>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12">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0" fontId="3" fillId="0" borderId="0"/>
    <xf numFmtId="9" fontId="1" fillId="0" borderId="0" applyFont="0" applyFill="0" applyBorder="0" applyAlignment="0" applyProtection="0"/>
  </cellStyleXfs>
  <cellXfs count="619">
    <xf numFmtId="0" fontId="0" fillId="0" borderId="0" xfId="0"/>
    <xf numFmtId="41" fontId="8" fillId="2" borderId="0" xfId="0" applyNumberFormat="1" applyFont="1" applyFill="1" applyAlignment="1">
      <alignment wrapText="1"/>
    </xf>
    <xf numFmtId="41" fontId="8" fillId="0" borderId="0" xfId="0" applyNumberFormat="1" applyFont="1" applyFill="1" applyAlignment="1">
      <alignment wrapText="1"/>
    </xf>
    <xf numFmtId="0" fontId="9" fillId="0" borderId="0" xfId="0" applyFont="1"/>
    <xf numFmtId="0" fontId="9" fillId="0" borderId="0" xfId="0" applyFont="1" applyFill="1"/>
    <xf numFmtId="0" fontId="8" fillId="0" borderId="1" xfId="0" applyFont="1" applyBorder="1" applyAlignment="1">
      <alignment horizontal="center"/>
    </xf>
    <xf numFmtId="0" fontId="8" fillId="0" borderId="2" xfId="0" applyFont="1" applyBorder="1"/>
    <xf numFmtId="37" fontId="9" fillId="0" borderId="0" xfId="0" applyNumberFormat="1" applyFont="1" applyAlignment="1">
      <alignment wrapText="1"/>
    </xf>
    <xf numFmtId="3" fontId="9" fillId="0" borderId="0" xfId="0" applyNumberFormat="1" applyFont="1"/>
    <xf numFmtId="37" fontId="9" fillId="0" borderId="0" xfId="0" applyNumberFormat="1" applyFont="1" applyFill="1" applyAlignment="1">
      <alignment wrapText="1"/>
    </xf>
    <xf numFmtId="3" fontId="9" fillId="0" borderId="0" xfId="0" applyNumberFormat="1" applyFont="1" applyFill="1" applyAlignment="1">
      <alignment wrapText="1"/>
    </xf>
    <xf numFmtId="3" fontId="9" fillId="0" borderId="0" xfId="0" applyNumberFormat="1" applyFont="1" applyFill="1" applyBorder="1" applyAlignment="1">
      <alignment wrapText="1"/>
    </xf>
    <xf numFmtId="3" fontId="9" fillId="0" borderId="0" xfId="1" applyNumberFormat="1" applyFont="1" applyFill="1"/>
    <xf numFmtId="3" fontId="9" fillId="0" borderId="0" xfId="1" applyNumberFormat="1" applyFont="1" applyFill="1" applyAlignment="1">
      <alignment wrapText="1"/>
    </xf>
    <xf numFmtId="3" fontId="9" fillId="0" borderId="0" xfId="1" applyNumberFormat="1" applyFont="1" applyFill="1" applyBorder="1" applyAlignment="1">
      <alignment wrapText="1"/>
    </xf>
    <xf numFmtId="3" fontId="9" fillId="0" borderId="2" xfId="1" applyNumberFormat="1" applyFont="1" applyFill="1" applyBorder="1" applyAlignment="1">
      <alignment wrapText="1"/>
    </xf>
    <xf numFmtId="3" fontId="9" fillId="0" borderId="3" xfId="1" applyNumberFormat="1" applyFont="1" applyFill="1" applyBorder="1" applyAlignment="1">
      <alignment wrapText="1"/>
    </xf>
    <xf numFmtId="3" fontId="9" fillId="0" borderId="3" xfId="1" applyNumberFormat="1" applyFont="1" applyFill="1" applyBorder="1"/>
    <xf numFmtId="3" fontId="9" fillId="0" borderId="0" xfId="1" applyNumberFormat="1" applyFont="1" applyFill="1" applyBorder="1"/>
    <xf numFmtId="3" fontId="9" fillId="0" borderId="3" xfId="0" applyNumberFormat="1" applyFont="1" applyBorder="1"/>
    <xf numFmtId="3" fontId="8" fillId="0" borderId="3" xfId="1" applyNumberFormat="1" applyFont="1" applyFill="1" applyBorder="1"/>
    <xf numFmtId="0" fontId="8" fillId="3" borderId="0" xfId="0" applyFont="1" applyFill="1"/>
    <xf numFmtId="3" fontId="8" fillId="3" borderId="0" xfId="0" applyNumberFormat="1" applyFont="1" applyFill="1"/>
    <xf numFmtId="0" fontId="8" fillId="0" borderId="0" xfId="0" applyFont="1" applyFill="1"/>
    <xf numFmtId="3" fontId="9" fillId="0" borderId="2" xfId="0" applyNumberFormat="1" applyFont="1" applyBorder="1"/>
    <xf numFmtId="3" fontId="9" fillId="0" borderId="0" xfId="0" applyNumberFormat="1" applyFont="1" applyFill="1"/>
    <xf numFmtId="3" fontId="9" fillId="0" borderId="0" xfId="0" applyNumberFormat="1" applyFont="1" applyFill="1" applyBorder="1"/>
    <xf numFmtId="0" fontId="9" fillId="4" borderId="0" xfId="0" applyFont="1" applyFill="1"/>
    <xf numFmtId="3" fontId="9" fillId="4" borderId="2" xfId="1" applyNumberFormat="1" applyFont="1" applyFill="1" applyBorder="1"/>
    <xf numFmtId="3" fontId="9" fillId="4" borderId="2" xfId="0" applyNumberFormat="1" applyFont="1" applyFill="1" applyBorder="1"/>
    <xf numFmtId="3" fontId="8" fillId="0" borderId="0" xfId="0" applyNumberFormat="1" applyFont="1" applyFill="1"/>
    <xf numFmtId="0" fontId="9" fillId="0" borderId="0" xfId="0" quotePrefix="1" applyFont="1" applyFill="1"/>
    <xf numFmtId="37" fontId="8" fillId="3" borderId="0" xfId="0" applyNumberFormat="1" applyFont="1" applyFill="1" applyAlignment="1">
      <alignment wrapText="1"/>
    </xf>
    <xf numFmtId="3" fontId="8" fillId="3" borderId="0" xfId="0" applyNumberFormat="1" applyFont="1" applyFill="1" applyAlignment="1">
      <alignment wrapText="1"/>
    </xf>
    <xf numFmtId="3" fontId="8" fillId="3" borderId="0" xfId="0" applyNumberFormat="1" applyFont="1" applyFill="1" applyBorder="1" applyAlignment="1">
      <alignment wrapText="1"/>
    </xf>
    <xf numFmtId="0" fontId="9" fillId="3" borderId="0" xfId="0" applyFont="1" applyFill="1"/>
    <xf numFmtId="3" fontId="8" fillId="3" borderId="3" xfId="0" applyNumberFormat="1" applyFont="1" applyFill="1" applyBorder="1" applyAlignment="1">
      <alignment wrapText="1"/>
    </xf>
    <xf numFmtId="0" fontId="8" fillId="0" borderId="2" xfId="0" applyFont="1" applyBorder="1" applyAlignment="1">
      <alignment horizontal="center"/>
    </xf>
    <xf numFmtId="0" fontId="8" fillId="4" borderId="0" xfId="0" applyFont="1" applyFill="1"/>
    <xf numFmtId="3" fontId="8" fillId="4" borderId="2" xfId="0" applyNumberFormat="1" applyFont="1" applyFill="1" applyBorder="1"/>
    <xf numFmtId="3" fontId="9" fillId="4" borderId="0" xfId="0" applyNumberFormat="1" applyFont="1" applyFill="1"/>
    <xf numFmtId="0" fontId="8" fillId="0" borderId="0" xfId="0" applyFont="1"/>
    <xf numFmtId="3" fontId="8" fillId="0" borderId="4" xfId="0" applyNumberFormat="1" applyFont="1" applyBorder="1"/>
    <xf numFmtId="9" fontId="9" fillId="0" borderId="0" xfId="0" applyNumberFormat="1" applyFont="1" applyFill="1"/>
    <xf numFmtId="41" fontId="8" fillId="0" borderId="0" xfId="1" applyNumberFormat="1" applyFont="1" applyFill="1" applyAlignment="1">
      <alignment horizontal="center"/>
    </xf>
    <xf numFmtId="41" fontId="8" fillId="0" borderId="0" xfId="1" applyNumberFormat="1" applyFont="1" applyAlignment="1">
      <alignment horizontal="right"/>
    </xf>
    <xf numFmtId="41" fontId="8" fillId="0" borderId="0" xfId="1" applyNumberFormat="1" applyFont="1" applyFill="1"/>
    <xf numFmtId="41" fontId="8" fillId="0" borderId="0" xfId="1" quotePrefix="1" applyNumberFormat="1" applyFont="1" applyAlignment="1">
      <alignment horizontal="center" wrapText="1"/>
    </xf>
    <xf numFmtId="41" fontId="8" fillId="0" borderId="0" xfId="1" applyNumberFormat="1" applyFont="1" applyAlignment="1">
      <alignment horizontal="center" wrapText="1"/>
    </xf>
    <xf numFmtId="41" fontId="8" fillId="0" borderId="1" xfId="1" applyNumberFormat="1" applyFont="1" applyFill="1" applyBorder="1" applyAlignment="1">
      <alignment horizontal="center"/>
    </xf>
    <xf numFmtId="41" fontId="8" fillId="0" borderId="1" xfId="1" quotePrefix="1" applyNumberFormat="1" applyFont="1" applyBorder="1" applyAlignment="1">
      <alignment horizontal="center"/>
    </xf>
    <xf numFmtId="41" fontId="9" fillId="0" borderId="0" xfId="0" applyNumberFormat="1" applyFont="1" applyFill="1"/>
    <xf numFmtId="41" fontId="9" fillId="5" borderId="0" xfId="0" applyNumberFormat="1" applyFont="1" applyFill="1"/>
    <xf numFmtId="41" fontId="9" fillId="2" borderId="0" xfId="0" applyNumberFormat="1" applyFont="1" applyFill="1"/>
    <xf numFmtId="41" fontId="8" fillId="0" borderId="1" xfId="0" applyNumberFormat="1" applyFont="1" applyFill="1" applyBorder="1"/>
    <xf numFmtId="41" fontId="8" fillId="0" borderId="0" xfId="0" applyNumberFormat="1" applyFont="1" applyFill="1" applyBorder="1"/>
    <xf numFmtId="41" fontId="9" fillId="0" borderId="0" xfId="0" applyNumberFormat="1" applyFont="1" applyBorder="1"/>
    <xf numFmtId="41" fontId="9" fillId="0" borderId="0" xfId="0" applyNumberFormat="1" applyFont="1"/>
    <xf numFmtId="41" fontId="9" fillId="0" borderId="0" xfId="0" applyNumberFormat="1" applyFont="1" applyFill="1" applyBorder="1"/>
    <xf numFmtId="41" fontId="8" fillId="5" borderId="5" xfId="0" applyNumberFormat="1" applyFont="1" applyFill="1" applyBorder="1"/>
    <xf numFmtId="41" fontId="8" fillId="0" borderId="0" xfId="0" applyNumberFormat="1" applyFont="1" applyFill="1"/>
    <xf numFmtId="41" fontId="8" fillId="5" borderId="0" xfId="0" applyNumberFormat="1" applyFont="1" applyFill="1" applyBorder="1"/>
    <xf numFmtId="41" fontId="8" fillId="0" borderId="0" xfId="0" applyNumberFormat="1" applyFont="1"/>
    <xf numFmtId="41" fontId="9" fillId="0" borderId="2" xfId="0" applyNumberFormat="1" applyFont="1" applyFill="1" applyBorder="1"/>
    <xf numFmtId="41" fontId="9" fillId="0" borderId="0" xfId="1" applyNumberFormat="1" applyFont="1" applyFill="1"/>
    <xf numFmtId="41" fontId="8" fillId="2" borderId="0" xfId="0" applyNumberFormat="1" applyFont="1" applyFill="1"/>
    <xf numFmtId="41" fontId="9" fillId="0" borderId="2" xfId="1" applyNumberFormat="1" applyFont="1" applyFill="1" applyBorder="1"/>
    <xf numFmtId="41" fontId="8" fillId="0" borderId="3" xfId="0" applyNumberFormat="1" applyFont="1" applyFill="1" applyBorder="1"/>
    <xf numFmtId="41" fontId="8" fillId="5" borderId="2" xfId="0" applyNumberFormat="1" applyFont="1" applyFill="1" applyBorder="1"/>
    <xf numFmtId="41" fontId="9" fillId="0" borderId="0" xfId="3" applyNumberFormat="1" applyFont="1" applyFill="1" applyAlignment="1">
      <alignment horizontal="right" wrapText="1"/>
    </xf>
    <xf numFmtId="49" fontId="8" fillId="0" borderId="0" xfId="1" applyNumberFormat="1" applyFont="1" applyAlignment="1">
      <alignment horizontal="right"/>
    </xf>
    <xf numFmtId="49" fontId="8" fillId="0" borderId="0" xfId="0" applyNumberFormat="1" applyFont="1" applyAlignment="1">
      <alignment horizontal="right"/>
    </xf>
    <xf numFmtId="49" fontId="8" fillId="0" borderId="1" xfId="1" applyNumberFormat="1" applyFont="1" applyFill="1" applyBorder="1" applyAlignment="1">
      <alignment horizontal="center"/>
    </xf>
    <xf numFmtId="41" fontId="9" fillId="2" borderId="0" xfId="1" applyNumberFormat="1" applyFont="1" applyFill="1"/>
    <xf numFmtId="49" fontId="8" fillId="0" borderId="0" xfId="1" applyNumberFormat="1" applyFont="1" applyFill="1"/>
    <xf numFmtId="49" fontId="9" fillId="0" borderId="0" xfId="1" applyNumberFormat="1" applyFont="1" applyFill="1"/>
    <xf numFmtId="41" fontId="9" fillId="0" borderId="0" xfId="1" applyNumberFormat="1" applyFont="1" applyFill="1" applyBorder="1"/>
    <xf numFmtId="41" fontId="9" fillId="0" borderId="0" xfId="1" applyNumberFormat="1" applyFont="1" applyFill="1" applyBorder="1" applyAlignment="1">
      <alignment wrapText="1"/>
    </xf>
    <xf numFmtId="41" fontId="9" fillId="0" borderId="0" xfId="0" applyNumberFormat="1" applyFont="1" applyFill="1" applyAlignment="1">
      <alignment wrapText="1"/>
    </xf>
    <xf numFmtId="41" fontId="9" fillId="0" borderId="0" xfId="0" applyNumberFormat="1" applyFont="1" applyFill="1" applyBorder="1" applyAlignment="1">
      <alignment wrapText="1"/>
    </xf>
    <xf numFmtId="49" fontId="9" fillId="0" borderId="0" xfId="1" applyNumberFormat="1" applyFont="1" applyAlignment="1">
      <alignment wrapText="1"/>
    </xf>
    <xf numFmtId="41" fontId="9" fillId="0" borderId="2" xfId="1" applyNumberFormat="1" applyFont="1" applyFill="1" applyBorder="1" applyAlignment="1">
      <alignment wrapText="1"/>
    </xf>
    <xf numFmtId="41" fontId="9" fillId="0" borderId="0" xfId="1" applyNumberFormat="1" applyFont="1" applyFill="1" applyAlignment="1">
      <alignment wrapText="1"/>
    </xf>
    <xf numFmtId="41" fontId="9" fillId="0" borderId="0" xfId="1" applyNumberFormat="1" applyFont="1" applyAlignment="1">
      <alignment wrapText="1"/>
    </xf>
    <xf numFmtId="41" fontId="8" fillId="0" borderId="2" xfId="1" applyNumberFormat="1" applyFont="1" applyFill="1" applyBorder="1"/>
    <xf numFmtId="49" fontId="9" fillId="0" borderId="0" xfId="0" applyNumberFormat="1" applyFont="1" applyFill="1" applyAlignment="1">
      <alignment wrapText="1"/>
    </xf>
    <xf numFmtId="49" fontId="9" fillId="0" borderId="0" xfId="1" applyNumberFormat="1" applyFont="1" applyFill="1" applyAlignment="1">
      <alignment horizontal="left" wrapText="1"/>
    </xf>
    <xf numFmtId="41" fontId="8" fillId="0" borderId="0" xfId="1" applyNumberFormat="1" applyFont="1" applyFill="1" applyBorder="1"/>
    <xf numFmtId="41" fontId="8" fillId="2" borderId="0" xfId="1" applyNumberFormat="1" applyFont="1" applyFill="1" applyBorder="1"/>
    <xf numFmtId="49" fontId="9" fillId="0" borderId="0" xfId="1" applyNumberFormat="1" applyFont="1" applyFill="1" applyAlignment="1">
      <alignment horizontal="left"/>
    </xf>
    <xf numFmtId="49" fontId="9" fillId="0" borderId="0" xfId="0" applyNumberFormat="1" applyFont="1" applyFill="1" applyAlignment="1">
      <alignment horizontal="left" wrapText="1"/>
    </xf>
    <xf numFmtId="49" fontId="9" fillId="0" borderId="0" xfId="1" applyNumberFormat="1" applyFont="1" applyBorder="1" applyAlignment="1">
      <alignment wrapText="1"/>
    </xf>
    <xf numFmtId="49" fontId="9" fillId="0" borderId="0" xfId="1" applyNumberFormat="1" applyFont="1" applyFill="1" applyBorder="1"/>
    <xf numFmtId="41" fontId="8" fillId="2" borderId="0" xfId="1" applyNumberFormat="1" applyFont="1" applyFill="1" applyBorder="1" applyAlignment="1">
      <alignment wrapText="1"/>
    </xf>
    <xf numFmtId="41" fontId="8" fillId="2" borderId="2" xfId="1" applyNumberFormat="1" applyFont="1" applyFill="1" applyBorder="1"/>
    <xf numFmtId="41" fontId="8" fillId="2" borderId="5" xfId="1" applyNumberFormat="1" applyFont="1" applyFill="1" applyBorder="1"/>
    <xf numFmtId="41" fontId="9" fillId="0" borderId="0" xfId="1" applyNumberFormat="1" applyFont="1" applyFill="1" applyAlignment="1">
      <alignment horizontal="left" wrapText="1"/>
    </xf>
    <xf numFmtId="41" fontId="9" fillId="0" borderId="0" xfId="1" applyNumberFormat="1" applyFont="1" applyFill="1" applyAlignment="1">
      <alignment horizontal="left"/>
    </xf>
    <xf numFmtId="41" fontId="9" fillId="0" borderId="0" xfId="0" applyNumberFormat="1" applyFont="1" applyFill="1" applyAlignment="1">
      <alignment horizontal="left" wrapText="1"/>
    </xf>
    <xf numFmtId="41" fontId="9" fillId="0" borderId="0" xfId="1" applyNumberFormat="1" applyFont="1" applyBorder="1" applyAlignment="1">
      <alignment wrapText="1"/>
    </xf>
    <xf numFmtId="41" fontId="9" fillId="0" borderId="0" xfId="1" applyNumberFormat="1" applyFont="1" applyFill="1" applyAlignment="1">
      <alignment horizontal="center"/>
    </xf>
    <xf numFmtId="41" fontId="9" fillId="2" borderId="0" xfId="0" applyNumberFormat="1" applyFont="1" applyFill="1" applyAlignment="1">
      <alignment wrapText="1"/>
    </xf>
    <xf numFmtId="41" fontId="9" fillId="0" borderId="0" xfId="0" applyNumberFormat="1" applyFont="1" applyAlignment="1">
      <alignment wrapText="1"/>
    </xf>
    <xf numFmtId="41" fontId="9" fillId="0" borderId="2" xfId="0" applyNumberFormat="1" applyFont="1" applyFill="1" applyBorder="1" applyAlignment="1">
      <alignment wrapText="1"/>
    </xf>
    <xf numFmtId="41" fontId="8" fillId="0" borderId="0" xfId="0" applyNumberFormat="1" applyFont="1" applyAlignment="1">
      <alignment wrapText="1"/>
    </xf>
    <xf numFmtId="41" fontId="8" fillId="0" borderId="0" xfId="0" applyNumberFormat="1" applyFont="1" applyFill="1" applyBorder="1" applyAlignment="1">
      <alignment wrapText="1"/>
    </xf>
    <xf numFmtId="41" fontId="8" fillId="0" borderId="2" xfId="0" applyNumberFormat="1" applyFont="1" applyBorder="1" applyAlignment="1">
      <alignment wrapText="1"/>
    </xf>
    <xf numFmtId="41" fontId="8" fillId="0" borderId="0" xfId="0" applyNumberFormat="1" applyFont="1" applyBorder="1" applyAlignment="1">
      <alignment wrapText="1"/>
    </xf>
    <xf numFmtId="41" fontId="8" fillId="0" borderId="5" xfId="0" applyNumberFormat="1" applyFont="1" applyBorder="1" applyAlignment="1">
      <alignment wrapText="1"/>
    </xf>
    <xf numFmtId="41" fontId="8" fillId="2" borderId="0" xfId="0" applyNumberFormat="1" applyFont="1" applyFill="1" applyBorder="1" applyAlignment="1">
      <alignment wrapText="1"/>
    </xf>
    <xf numFmtId="41" fontId="8" fillId="0" borderId="0" xfId="1" applyNumberFormat="1" applyFont="1" applyFill="1" applyAlignment="1">
      <alignment wrapText="1"/>
    </xf>
    <xf numFmtId="41" fontId="9" fillId="0" borderId="0" xfId="0" applyNumberFormat="1" applyFont="1" applyBorder="1" applyAlignment="1">
      <alignment wrapText="1"/>
    </xf>
    <xf numFmtId="41" fontId="8" fillId="2" borderId="2" xfId="0" applyNumberFormat="1" applyFont="1" applyFill="1" applyBorder="1" applyAlignment="1">
      <alignment wrapText="1"/>
    </xf>
    <xf numFmtId="41" fontId="8" fillId="2" borderId="5" xfId="0" applyNumberFormat="1" applyFont="1" applyFill="1" applyBorder="1" applyAlignment="1">
      <alignment wrapText="1"/>
    </xf>
    <xf numFmtId="0" fontId="9" fillId="0" borderId="0" xfId="0" applyFont="1" applyFill="1" applyAlignment="1">
      <alignment wrapText="1"/>
    </xf>
    <xf numFmtId="43" fontId="9" fillId="0" borderId="0" xfId="1" applyNumberFormat="1" applyFont="1" applyFill="1"/>
    <xf numFmtId="43" fontId="9" fillId="0" borderId="0" xfId="1" applyFont="1" applyFill="1"/>
    <xf numFmtId="43" fontId="8" fillId="0" borderId="0" xfId="1" applyFont="1" applyFill="1"/>
    <xf numFmtId="168" fontId="9" fillId="0" borderId="0" xfId="1" applyNumberFormat="1" applyFont="1" applyFill="1"/>
    <xf numFmtId="189" fontId="8" fillId="0" borderId="0" xfId="1" quotePrefix="1" applyNumberFormat="1" applyFont="1" applyAlignment="1">
      <alignment horizontal="center" wrapText="1"/>
    </xf>
    <xf numFmtId="189" fontId="9" fillId="0" borderId="0" xfId="0" applyNumberFormat="1" applyFont="1" applyFill="1" applyAlignment="1">
      <alignment wrapText="1"/>
    </xf>
    <xf numFmtId="9" fontId="8" fillId="0" borderId="0" xfId="0" applyNumberFormat="1" applyFont="1" applyFill="1" applyAlignment="1">
      <alignment horizontal="left"/>
    </xf>
    <xf numFmtId="43" fontId="9" fillId="0" borderId="0" xfId="0" applyNumberFormat="1" applyFont="1"/>
    <xf numFmtId="2" fontId="9" fillId="0" borderId="0" xfId="0" applyNumberFormat="1" applyFont="1"/>
    <xf numFmtId="41" fontId="7" fillId="0" borderId="0" xfId="0" applyNumberFormat="1" applyFont="1" applyFill="1" applyAlignment="1">
      <alignment wrapText="1"/>
    </xf>
    <xf numFmtId="41" fontId="8" fillId="0" borderId="0" xfId="3" applyNumberFormat="1" applyFont="1" applyFill="1" applyAlignment="1">
      <alignment horizontal="right" wrapText="1"/>
    </xf>
    <xf numFmtId="41" fontId="9" fillId="0" borderId="0" xfId="1" quotePrefix="1" applyNumberFormat="1" applyFont="1" applyFill="1" applyAlignment="1">
      <alignment horizontal="center"/>
    </xf>
    <xf numFmtId="168" fontId="9" fillId="0" borderId="0" xfId="1" applyNumberFormat="1" applyFont="1"/>
    <xf numFmtId="41" fontId="8" fillId="0" borderId="2" xfId="0" applyNumberFormat="1" applyFont="1" applyFill="1" applyBorder="1"/>
    <xf numFmtId="3" fontId="9" fillId="0" borderId="2" xfId="0" applyNumberFormat="1" applyFont="1" applyFill="1" applyBorder="1"/>
    <xf numFmtId="182" fontId="9" fillId="0" borderId="0" xfId="3" applyNumberFormat="1" applyFont="1" applyFill="1"/>
    <xf numFmtId="182" fontId="8" fillId="0" borderId="0" xfId="3" applyNumberFormat="1" applyFont="1" applyFill="1"/>
    <xf numFmtId="182" fontId="9" fillId="0" borderId="0" xfId="0" applyNumberFormat="1" applyFont="1" applyFill="1"/>
    <xf numFmtId="43" fontId="10" fillId="0" borderId="0" xfId="1" applyFont="1" applyFill="1"/>
    <xf numFmtId="0" fontId="10" fillId="0" borderId="0" xfId="0" applyFont="1" applyFill="1"/>
    <xf numFmtId="0" fontId="10" fillId="0" borderId="1" xfId="0" applyFont="1" applyBorder="1" applyAlignment="1">
      <alignment horizontal="center"/>
    </xf>
    <xf numFmtId="0" fontId="10" fillId="0" borderId="0" xfId="0" applyFont="1"/>
    <xf numFmtId="168" fontId="10" fillId="0" borderId="0" xfId="1" applyNumberFormat="1" applyFont="1" applyFill="1" applyAlignment="1">
      <alignment vertical="top"/>
    </xf>
    <xf numFmtId="2" fontId="10" fillId="0" borderId="0" xfId="0" applyNumberFormat="1" applyFont="1"/>
    <xf numFmtId="3" fontId="7" fillId="0" borderId="0" xfId="1" applyNumberFormat="1" applyFont="1" applyFill="1" applyAlignment="1">
      <alignment wrapText="1"/>
    </xf>
    <xf numFmtId="168" fontId="10" fillId="0" borderId="0" xfId="1" applyNumberFormat="1" applyFont="1"/>
    <xf numFmtId="43" fontId="9" fillId="0" borderId="0" xfId="1" applyFont="1"/>
    <xf numFmtId="189" fontId="9" fillId="0" borderId="0" xfId="0" applyNumberFormat="1" applyFont="1" applyFill="1" applyBorder="1" applyAlignment="1">
      <alignment wrapText="1"/>
    </xf>
    <xf numFmtId="3" fontId="9" fillId="6" borderId="0" xfId="0" applyNumberFormat="1" applyFont="1" applyFill="1"/>
    <xf numFmtId="3" fontId="9" fillId="6" borderId="0" xfId="0" applyNumberFormat="1" applyFont="1" applyFill="1" applyBorder="1"/>
    <xf numFmtId="3" fontId="9" fillId="6" borderId="2" xfId="0" applyNumberFormat="1" applyFont="1" applyFill="1" applyBorder="1"/>
    <xf numFmtId="37" fontId="8" fillId="0" borderId="0" xfId="0" applyNumberFormat="1" applyFont="1" applyFill="1" applyAlignment="1">
      <alignment wrapText="1"/>
    </xf>
    <xf numFmtId="3" fontId="8" fillId="0" borderId="0" xfId="0" applyNumberFormat="1" applyFont="1" applyFill="1" applyBorder="1" applyAlignment="1">
      <alignment wrapText="1"/>
    </xf>
    <xf numFmtId="37" fontId="8" fillId="4" borderId="0" xfId="0" applyNumberFormat="1" applyFont="1" applyFill="1" applyAlignment="1">
      <alignment wrapText="1"/>
    </xf>
    <xf numFmtId="3" fontId="8" fillId="4" borderId="0" xfId="0" applyNumberFormat="1" applyFont="1" applyFill="1" applyBorder="1" applyAlignment="1">
      <alignment wrapText="1"/>
    </xf>
    <xf numFmtId="168" fontId="9" fillId="0" borderId="2" xfId="1" applyNumberFormat="1" applyFont="1" applyFill="1" applyBorder="1"/>
    <xf numFmtId="188" fontId="8" fillId="0" borderId="0" xfId="1" quotePrefix="1" applyNumberFormat="1" applyFont="1" applyAlignment="1">
      <alignment horizontal="center" wrapText="1"/>
    </xf>
    <xf numFmtId="168" fontId="8" fillId="3" borderId="0" xfId="1" applyNumberFormat="1" applyFont="1" applyFill="1"/>
    <xf numFmtId="168" fontId="9" fillId="3" borderId="0" xfId="1" applyNumberFormat="1" applyFont="1" applyFill="1"/>
    <xf numFmtId="41" fontId="9" fillId="5" borderId="0" xfId="1" applyNumberFormat="1" applyFont="1" applyFill="1"/>
    <xf numFmtId="41" fontId="8" fillId="5" borderId="0" xfId="1" applyNumberFormat="1" applyFont="1" applyFill="1"/>
    <xf numFmtId="41" fontId="9" fillId="7" borderId="0" xfId="1" applyNumberFormat="1" applyFont="1" applyFill="1"/>
    <xf numFmtId="41" fontId="8" fillId="7" borderId="0" xfId="1" applyNumberFormat="1" applyFont="1" applyFill="1"/>
    <xf numFmtId="41" fontId="8" fillId="7" borderId="0" xfId="1" applyNumberFormat="1" applyFont="1" applyFill="1" applyBorder="1"/>
    <xf numFmtId="41" fontId="8" fillId="7" borderId="0" xfId="0" applyNumberFormat="1" applyFont="1" applyFill="1"/>
    <xf numFmtId="41" fontId="9" fillId="7" borderId="0" xfId="0" applyNumberFormat="1" applyFont="1" applyFill="1"/>
    <xf numFmtId="41" fontId="8" fillId="7" borderId="2" xfId="1" applyNumberFormat="1" applyFont="1" applyFill="1" applyBorder="1"/>
    <xf numFmtId="41" fontId="9" fillId="0" borderId="5" xfId="1" applyNumberFormat="1" applyFont="1" applyFill="1" applyBorder="1"/>
    <xf numFmtId="41" fontId="11" fillId="0" borderId="0" xfId="0" applyNumberFormat="1" applyFont="1" applyFill="1" applyBorder="1" applyAlignment="1">
      <alignment wrapText="1"/>
    </xf>
    <xf numFmtId="0" fontId="5" fillId="0" borderId="0" xfId="0" applyNumberFormat="1" applyFont="1" applyAlignment="1">
      <alignment vertical="top" wrapText="1"/>
    </xf>
    <xf numFmtId="0" fontId="0" fillId="0" borderId="0" xfId="0" applyNumberFormat="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7" xfId="0" applyNumberFormat="1" applyBorder="1" applyAlignment="1">
      <alignment horizontal="center" vertical="top" wrapText="1"/>
    </xf>
    <xf numFmtId="0" fontId="0" fillId="0" borderId="8" xfId="0" applyNumberFormat="1" applyBorder="1" applyAlignment="1">
      <alignment horizontal="center" vertical="top" wrapText="1"/>
    </xf>
    <xf numFmtId="0" fontId="2" fillId="0" borderId="0" xfId="0" applyFont="1"/>
    <xf numFmtId="41" fontId="10" fillId="0" borderId="0" xfId="0" applyNumberFormat="1" applyFont="1" applyFill="1" applyAlignment="1">
      <alignment wrapText="1"/>
    </xf>
    <xf numFmtId="41" fontId="8" fillId="7" borderId="2" xfId="1" applyNumberFormat="1" applyFont="1" applyFill="1" applyBorder="1" applyAlignment="1">
      <alignment wrapText="1"/>
    </xf>
    <xf numFmtId="41" fontId="8" fillId="0" borderId="3" xfId="0" applyNumberFormat="1" applyFont="1" applyBorder="1" applyAlignment="1">
      <alignment wrapText="1"/>
    </xf>
    <xf numFmtId="41" fontId="8" fillId="0" borderId="4" xfId="0" applyNumberFormat="1" applyFont="1" applyFill="1" applyBorder="1" applyAlignment="1">
      <alignment wrapText="1"/>
    </xf>
    <xf numFmtId="189" fontId="8" fillId="0" borderId="0" xfId="1" applyNumberFormat="1" applyFont="1" applyFill="1" applyAlignment="1">
      <alignment horizontal="center" wrapText="1"/>
    </xf>
    <xf numFmtId="189" fontId="8" fillId="0" borderId="0" xfId="1" quotePrefix="1" applyNumberFormat="1" applyFont="1" applyFill="1" applyAlignment="1">
      <alignment horizontal="center" wrapText="1"/>
    </xf>
    <xf numFmtId="37" fontId="9" fillId="0" borderId="0" xfId="0" applyNumberFormat="1" applyFont="1" applyFill="1" applyBorder="1" applyAlignment="1">
      <alignment wrapText="1"/>
    </xf>
    <xf numFmtId="0" fontId="9" fillId="0" borderId="0" xfId="0" applyFont="1" applyFill="1" applyBorder="1"/>
    <xf numFmtId="41" fontId="10" fillId="0" borderId="0" xfId="0" applyNumberFormat="1" applyFont="1" applyFill="1" applyBorder="1" applyAlignment="1">
      <alignment wrapText="1"/>
    </xf>
    <xf numFmtId="41" fontId="8" fillId="0" borderId="0" xfId="1" applyNumberFormat="1" applyFont="1" applyFill="1" applyBorder="1" applyAlignment="1">
      <alignment horizontal="center" wrapText="1"/>
    </xf>
    <xf numFmtId="41" fontId="8" fillId="0" borderId="0" xfId="1" applyNumberFormat="1" applyFont="1" applyFill="1" applyBorder="1" applyAlignment="1">
      <alignment horizontal="center"/>
    </xf>
    <xf numFmtId="41" fontId="8" fillId="0" borderId="0" xfId="1" applyNumberFormat="1" applyFont="1" applyFill="1" applyBorder="1" applyAlignment="1">
      <alignment wrapText="1"/>
    </xf>
    <xf numFmtId="41" fontId="8" fillId="0" borderId="0" xfId="1" quotePrefix="1" applyNumberFormat="1" applyFont="1" applyFill="1" applyBorder="1" applyAlignment="1">
      <alignment horizontal="center"/>
    </xf>
    <xf numFmtId="196" fontId="9" fillId="0" borderId="0" xfId="0" applyNumberFormat="1" applyFont="1" applyFill="1" applyBorder="1" applyAlignment="1">
      <alignment wrapText="1"/>
    </xf>
    <xf numFmtId="41" fontId="8" fillId="0" borderId="1" xfId="1" quotePrefix="1" applyNumberFormat="1" applyFont="1" applyBorder="1" applyAlignment="1">
      <alignment horizontal="center" wrapText="1"/>
    </xf>
    <xf numFmtId="41" fontId="10" fillId="0" borderId="0" xfId="1" applyNumberFormat="1" applyFont="1" applyFill="1"/>
    <xf numFmtId="41" fontId="12" fillId="0" borderId="0" xfId="0" applyNumberFormat="1" applyFont="1" applyFill="1" applyAlignment="1">
      <alignment wrapText="1"/>
    </xf>
    <xf numFmtId="41" fontId="12" fillId="0" borderId="0" xfId="0" applyNumberFormat="1" applyFont="1" applyAlignment="1">
      <alignment wrapText="1"/>
    </xf>
    <xf numFmtId="41" fontId="12" fillId="0" borderId="0" xfId="1" applyNumberFormat="1" applyFont="1" applyFill="1" applyAlignment="1">
      <alignment wrapText="1"/>
    </xf>
    <xf numFmtId="41" fontId="12" fillId="0" borderId="5" xfId="0" applyNumberFormat="1" applyFont="1" applyFill="1" applyBorder="1" applyAlignment="1">
      <alignment wrapText="1"/>
    </xf>
    <xf numFmtId="41" fontId="10" fillId="0" borderId="0" xfId="0" applyNumberFormat="1" applyFont="1"/>
    <xf numFmtId="0" fontId="5" fillId="0" borderId="0" xfId="0" applyFont="1" applyAlignment="1">
      <alignment horizontal="center"/>
    </xf>
    <xf numFmtId="0" fontId="0" fillId="0" borderId="0" xfId="0" applyFill="1"/>
    <xf numFmtId="41" fontId="8" fillId="0" borderId="0" xfId="0" quotePrefix="1" applyNumberFormat="1" applyFont="1" applyFill="1" applyBorder="1" applyAlignment="1">
      <alignment wrapText="1"/>
    </xf>
    <xf numFmtId="0" fontId="2" fillId="0" borderId="0" xfId="0" applyFont="1" applyFill="1"/>
    <xf numFmtId="41" fontId="9" fillId="0" borderId="2" xfId="0" applyNumberFormat="1" applyFont="1" applyBorder="1" applyAlignment="1">
      <alignment wrapText="1"/>
    </xf>
    <xf numFmtId="41" fontId="12" fillId="0" borderId="2" xfId="0" applyNumberFormat="1" applyFont="1" applyFill="1" applyBorder="1" applyAlignment="1">
      <alignment wrapText="1"/>
    </xf>
    <xf numFmtId="41" fontId="12" fillId="0" borderId="2" xfId="1" applyNumberFormat="1" applyFont="1" applyFill="1" applyBorder="1" applyAlignment="1">
      <alignment wrapText="1"/>
    </xf>
    <xf numFmtId="189" fontId="9" fillId="0" borderId="0" xfId="1" applyNumberFormat="1" applyFont="1" applyFill="1"/>
    <xf numFmtId="189" fontId="8" fillId="0" borderId="0" xfId="1" applyNumberFormat="1" applyFont="1" applyFill="1"/>
    <xf numFmtId="188" fontId="8" fillId="0" borderId="0" xfId="1" quotePrefix="1" applyNumberFormat="1" applyFont="1" applyFill="1" applyBorder="1" applyAlignment="1">
      <alignment horizontal="center" wrapText="1"/>
    </xf>
    <xf numFmtId="41" fontId="9" fillId="0" borderId="5" xfId="0" applyNumberFormat="1" applyFont="1" applyFill="1" applyBorder="1" applyAlignment="1">
      <alignment wrapText="1"/>
    </xf>
    <xf numFmtId="41" fontId="8" fillId="0" borderId="5" xfId="0" applyNumberFormat="1" applyFont="1" applyFill="1" applyBorder="1" applyAlignment="1">
      <alignment wrapText="1"/>
    </xf>
    <xf numFmtId="41" fontId="9" fillId="0" borderId="0" xfId="0" applyNumberFormat="1" applyFont="1" applyAlignment="1">
      <alignment horizontal="right" wrapText="1"/>
    </xf>
    <xf numFmtId="8" fontId="0" fillId="0" borderId="0" xfId="0" applyNumberFormat="1"/>
    <xf numFmtId="6" fontId="0" fillId="0" borderId="0" xfId="0" applyNumberFormat="1"/>
    <xf numFmtId="41" fontId="9" fillId="0" borderId="2" xfId="0" applyNumberFormat="1" applyFont="1" applyBorder="1"/>
    <xf numFmtId="168" fontId="9" fillId="0" borderId="2" xfId="1" applyNumberFormat="1" applyFont="1" applyFill="1" applyBorder="1" applyAlignment="1">
      <alignment wrapText="1"/>
    </xf>
    <xf numFmtId="41" fontId="8" fillId="8" borderId="0" xfId="0" applyNumberFormat="1" applyFont="1" applyFill="1"/>
    <xf numFmtId="41" fontId="8" fillId="8" borderId="0" xfId="0" applyNumberFormat="1" applyFont="1" applyFill="1" applyBorder="1" applyAlignment="1">
      <alignment wrapText="1"/>
    </xf>
    <xf numFmtId="41" fontId="8" fillId="8" borderId="0" xfId="0" applyNumberFormat="1" applyFont="1" applyFill="1" applyAlignment="1">
      <alignment wrapText="1"/>
    </xf>
    <xf numFmtId="41" fontId="8" fillId="8" borderId="2" xfId="0" applyNumberFormat="1" applyFont="1" applyFill="1" applyBorder="1" applyAlignment="1">
      <alignment wrapText="1"/>
    </xf>
    <xf numFmtId="41" fontId="9" fillId="8" borderId="0" xfId="0" applyNumberFormat="1" applyFont="1" applyFill="1" applyAlignment="1">
      <alignment wrapText="1"/>
    </xf>
    <xf numFmtId="41" fontId="8" fillId="4" borderId="0" xfId="0" applyNumberFormat="1" applyFont="1" applyFill="1" applyAlignment="1">
      <alignment wrapText="1"/>
    </xf>
    <xf numFmtId="41" fontId="9" fillId="4" borderId="0" xfId="0" applyNumberFormat="1" applyFont="1" applyFill="1" applyAlignment="1">
      <alignment wrapText="1"/>
    </xf>
    <xf numFmtId="41" fontId="8" fillId="7" borderId="0" xfId="0" applyNumberFormat="1" applyFont="1" applyFill="1" applyBorder="1" applyAlignment="1">
      <alignment wrapText="1"/>
    </xf>
    <xf numFmtId="41" fontId="8" fillId="7" borderId="0" xfId="0" applyNumberFormat="1" applyFont="1" applyFill="1" applyAlignment="1">
      <alignment wrapText="1"/>
    </xf>
    <xf numFmtId="41" fontId="8" fillId="7" borderId="2" xfId="0" applyNumberFormat="1" applyFont="1" applyFill="1" applyBorder="1" applyAlignment="1">
      <alignment wrapText="1"/>
    </xf>
    <xf numFmtId="41" fontId="9" fillId="7" borderId="0" xfId="0" applyNumberFormat="1" applyFont="1" applyFill="1" applyAlignment="1">
      <alignment wrapText="1"/>
    </xf>
    <xf numFmtId="41" fontId="8" fillId="4" borderId="0" xfId="0" applyNumberFormat="1" applyFont="1" applyFill="1" applyBorder="1" applyAlignment="1">
      <alignment wrapText="1"/>
    </xf>
    <xf numFmtId="41" fontId="8" fillId="4" borderId="2" xfId="0" applyNumberFormat="1" applyFont="1" applyFill="1" applyBorder="1" applyAlignment="1">
      <alignment wrapText="1"/>
    </xf>
    <xf numFmtId="41" fontId="8" fillId="4" borderId="0" xfId="0" applyNumberFormat="1" applyFont="1" applyFill="1"/>
    <xf numFmtId="41" fontId="9" fillId="4" borderId="0" xfId="1" applyNumberFormat="1" applyFont="1" applyFill="1"/>
    <xf numFmtId="41" fontId="9" fillId="4" borderId="0" xfId="1" applyNumberFormat="1" applyFont="1" applyFill="1" applyBorder="1"/>
    <xf numFmtId="41" fontId="8" fillId="9" borderId="0" xfId="1" applyNumberFormat="1" applyFont="1" applyFill="1"/>
    <xf numFmtId="41" fontId="9" fillId="9" borderId="0" xfId="1" applyNumberFormat="1" applyFont="1" applyFill="1"/>
    <xf numFmtId="41" fontId="8" fillId="9" borderId="0" xfId="1" applyNumberFormat="1" applyFont="1" applyFill="1" applyAlignment="1">
      <alignment horizontal="left"/>
    </xf>
    <xf numFmtId="41" fontId="8" fillId="9" borderId="0" xfId="1" applyNumberFormat="1" applyFont="1" applyFill="1" applyBorder="1"/>
    <xf numFmtId="41" fontId="8" fillId="9" borderId="0" xfId="1" applyNumberFormat="1" applyFont="1" applyFill="1" applyBorder="1" applyAlignment="1">
      <alignment wrapText="1"/>
    </xf>
    <xf numFmtId="41" fontId="8" fillId="9" borderId="2" xfId="1" applyNumberFormat="1" applyFont="1" applyFill="1" applyBorder="1"/>
    <xf numFmtId="41" fontId="9" fillId="9" borderId="0" xfId="1" applyNumberFormat="1" applyFont="1" applyFill="1" applyBorder="1"/>
    <xf numFmtId="41" fontId="8" fillId="0" borderId="5" xfId="0" applyNumberFormat="1" applyFont="1" applyFill="1" applyBorder="1"/>
    <xf numFmtId="41" fontId="13" fillId="0" borderId="0" xfId="1" applyNumberFormat="1" applyFont="1" applyFill="1" applyAlignment="1">
      <alignment wrapText="1"/>
    </xf>
    <xf numFmtId="49" fontId="8" fillId="10" borderId="0" xfId="1" applyNumberFormat="1" applyFont="1" applyFill="1"/>
    <xf numFmtId="41" fontId="9" fillId="10" borderId="0" xfId="1" applyNumberFormat="1" applyFont="1" applyFill="1"/>
    <xf numFmtId="41" fontId="8" fillId="10" borderId="0" xfId="1" applyNumberFormat="1" applyFont="1" applyFill="1"/>
    <xf numFmtId="49" fontId="8" fillId="10" borderId="0" xfId="1" applyNumberFormat="1" applyFont="1" applyFill="1" applyAlignment="1">
      <alignment horizontal="left"/>
    </xf>
    <xf numFmtId="41" fontId="8" fillId="10" borderId="0" xfId="1" applyNumberFormat="1" applyFont="1" applyFill="1" applyBorder="1"/>
    <xf numFmtId="41" fontId="8" fillId="10" borderId="0" xfId="0" applyNumberFormat="1" applyFont="1" applyFill="1"/>
    <xf numFmtId="41" fontId="9" fillId="10" borderId="0" xfId="0" applyNumberFormat="1" applyFont="1" applyFill="1"/>
    <xf numFmtId="41" fontId="8" fillId="10" borderId="2" xfId="1" applyNumberFormat="1" applyFont="1" applyFill="1" applyBorder="1" applyAlignment="1">
      <alignment wrapText="1"/>
    </xf>
    <xf numFmtId="41" fontId="9" fillId="10" borderId="2" xfId="1" applyNumberFormat="1" applyFont="1" applyFill="1" applyBorder="1"/>
    <xf numFmtId="41" fontId="8" fillId="10" borderId="2" xfId="1" applyNumberFormat="1" applyFont="1" applyFill="1" applyBorder="1"/>
    <xf numFmtId="41" fontId="14" fillId="0" borderId="0" xfId="0" applyNumberFormat="1" applyFont="1"/>
    <xf numFmtId="0" fontId="15" fillId="0" borderId="0" xfId="0" quotePrefix="1" applyFont="1"/>
    <xf numFmtId="41" fontId="8" fillId="11" borderId="0" xfId="0" applyNumberFormat="1" applyFont="1" applyFill="1"/>
    <xf numFmtId="41" fontId="9" fillId="11" borderId="0" xfId="0" applyNumberFormat="1" applyFont="1" applyFill="1"/>
    <xf numFmtId="41" fontId="8" fillId="11" borderId="5" xfId="0" applyNumberFormat="1" applyFont="1" applyFill="1" applyBorder="1"/>
    <xf numFmtId="41" fontId="8" fillId="11" borderId="0" xfId="0" applyNumberFormat="1" applyFont="1" applyFill="1" applyBorder="1"/>
    <xf numFmtId="41" fontId="8" fillId="11" borderId="2" xfId="0" applyNumberFormat="1" applyFont="1" applyFill="1" applyBorder="1"/>
    <xf numFmtId="49" fontId="9" fillId="10" borderId="0" xfId="0" applyNumberFormat="1" applyFont="1" applyFill="1" applyAlignment="1">
      <alignment horizontal="left" wrapText="1"/>
    </xf>
    <xf numFmtId="41" fontId="9" fillId="0" borderId="9" xfId="1" applyNumberFormat="1" applyFont="1" applyFill="1" applyBorder="1"/>
    <xf numFmtId="41" fontId="9" fillId="0" borderId="9" xfId="0" applyNumberFormat="1" applyFont="1" applyFill="1" applyBorder="1" applyAlignment="1">
      <alignment wrapText="1"/>
    </xf>
    <xf numFmtId="41" fontId="8" fillId="0" borderId="0" xfId="1" applyNumberFormat="1" applyFont="1" applyFill="1" applyAlignment="1">
      <alignment horizontal="right"/>
    </xf>
    <xf numFmtId="41" fontId="8" fillId="0" borderId="2" xfId="0" applyNumberFormat="1" applyFont="1" applyFill="1" applyBorder="1" applyAlignment="1">
      <alignment wrapText="1"/>
    </xf>
    <xf numFmtId="41" fontId="8" fillId="0" borderId="1" xfId="0" applyNumberFormat="1" applyFont="1" applyBorder="1" applyAlignment="1">
      <alignment horizontal="center"/>
    </xf>
    <xf numFmtId="41" fontId="8" fillId="0" borderId="0" xfId="0" applyNumberFormat="1" applyFont="1" applyBorder="1" applyAlignment="1">
      <alignment horizontal="center"/>
    </xf>
    <xf numFmtId="41" fontId="8" fillId="0" borderId="1" xfId="0" applyNumberFormat="1" applyFont="1" applyBorder="1"/>
    <xf numFmtId="41" fontId="8" fillId="0" borderId="2" xfId="0" applyNumberFormat="1" applyFont="1" applyBorder="1"/>
    <xf numFmtId="41" fontId="9" fillId="0" borderId="0" xfId="1" applyNumberFormat="1" applyFont="1"/>
    <xf numFmtId="41" fontId="9" fillId="0" borderId="3" xfId="1" applyNumberFormat="1" applyFont="1" applyFill="1" applyBorder="1" applyAlignment="1">
      <alignment wrapText="1"/>
    </xf>
    <xf numFmtId="41" fontId="9" fillId="0" borderId="3" xfId="1" applyNumberFormat="1" applyFont="1" applyFill="1" applyBorder="1"/>
    <xf numFmtId="41" fontId="10" fillId="0" borderId="0" xfId="1" applyNumberFormat="1" applyFont="1"/>
    <xf numFmtId="41" fontId="8" fillId="0" borderId="4" xfId="1" applyNumberFormat="1" applyFont="1" applyBorder="1"/>
    <xf numFmtId="0" fontId="9" fillId="0" borderId="2" xfId="0" applyFont="1" applyFill="1" applyBorder="1"/>
    <xf numFmtId="9" fontId="9" fillId="0" borderId="0" xfId="5" applyFont="1"/>
    <xf numFmtId="41" fontId="7" fillId="0" borderId="0" xfId="0" applyNumberFormat="1" applyFont="1" applyFill="1"/>
    <xf numFmtId="41" fontId="8" fillId="0" borderId="0" xfId="0" applyNumberFormat="1" applyFont="1" applyBorder="1"/>
    <xf numFmtId="41" fontId="8" fillId="10" borderId="0" xfId="0" applyNumberFormat="1" applyFont="1" applyFill="1" applyAlignment="1">
      <alignment horizontal="right"/>
    </xf>
    <xf numFmtId="41" fontId="7" fillId="12" borderId="0" xfId="0" applyNumberFormat="1" applyFont="1" applyFill="1"/>
    <xf numFmtId="41" fontId="8" fillId="12" borderId="0" xfId="0" applyNumberFormat="1" applyFont="1" applyFill="1"/>
    <xf numFmtId="41" fontId="9" fillId="12" borderId="0" xfId="0" applyNumberFormat="1" applyFont="1" applyFill="1"/>
    <xf numFmtId="41" fontId="8" fillId="12" borderId="0" xfId="0" applyNumberFormat="1" applyFont="1" applyFill="1" applyBorder="1" applyAlignment="1">
      <alignment horizontal="center"/>
    </xf>
    <xf numFmtId="41" fontId="8" fillId="12" borderId="0" xfId="0" applyNumberFormat="1" applyFont="1" applyFill="1" applyAlignment="1">
      <alignment horizontal="right"/>
    </xf>
    <xf numFmtId="41" fontId="8" fillId="12" borderId="0" xfId="1" applyNumberFormat="1" applyFont="1" applyFill="1" applyBorder="1" applyAlignment="1">
      <alignment horizontal="center"/>
    </xf>
    <xf numFmtId="41" fontId="8" fillId="12" borderId="0" xfId="0" applyNumberFormat="1" applyFont="1" applyFill="1" applyAlignment="1">
      <alignment horizontal="center"/>
    </xf>
    <xf numFmtId="41" fontId="8" fillId="12" borderId="2" xfId="1" applyNumberFormat="1" applyFont="1" applyFill="1" applyBorder="1"/>
    <xf numFmtId="41" fontId="8" fillId="12" borderId="5" xfId="1" applyNumberFormat="1" applyFont="1" applyFill="1" applyBorder="1"/>
    <xf numFmtId="9" fontId="7" fillId="12" borderId="0" xfId="5" applyFont="1" applyFill="1"/>
    <xf numFmtId="9" fontId="9" fillId="12" borderId="0" xfId="5" applyFont="1" applyFill="1"/>
    <xf numFmtId="9" fontId="8" fillId="12" borderId="0" xfId="5" applyFont="1" applyFill="1" applyAlignment="1">
      <alignment horizontal="right"/>
    </xf>
    <xf numFmtId="9" fontId="8" fillId="12" borderId="0" xfId="5" applyFont="1" applyFill="1" applyAlignment="1">
      <alignment horizontal="center"/>
    </xf>
    <xf numFmtId="9" fontId="8" fillId="0" borderId="0" xfId="5" applyFont="1" applyBorder="1"/>
    <xf numFmtId="9" fontId="9" fillId="0" borderId="0" xfId="5" applyFont="1" applyFill="1" applyBorder="1" applyAlignment="1">
      <alignment wrapText="1"/>
    </xf>
    <xf numFmtId="9" fontId="8" fillId="12" borderId="0" xfId="5" applyFont="1" applyFill="1"/>
    <xf numFmtId="9" fontId="8" fillId="0" borderId="0" xfId="5" applyFont="1" applyBorder="1" applyAlignment="1">
      <alignment horizontal="center"/>
    </xf>
    <xf numFmtId="9" fontId="9" fillId="0" borderId="0" xfId="5" applyFont="1" applyFill="1" applyAlignment="1">
      <alignment wrapText="1"/>
    </xf>
    <xf numFmtId="9" fontId="10" fillId="0" borderId="0" xfId="5" applyFont="1"/>
    <xf numFmtId="9" fontId="8" fillId="12" borderId="5" xfId="5" applyFont="1" applyFill="1" applyBorder="1"/>
    <xf numFmtId="9" fontId="8" fillId="0" borderId="0" xfId="5" applyFont="1"/>
    <xf numFmtId="9" fontId="9" fillId="0" borderId="0" xfId="5" applyFont="1" applyFill="1"/>
    <xf numFmtId="41" fontId="8" fillId="11" borderId="2" xfId="1" applyNumberFormat="1" applyFont="1" applyFill="1" applyBorder="1"/>
    <xf numFmtId="41" fontId="8" fillId="11" borderId="5" xfId="1" applyNumberFormat="1" applyFont="1" applyFill="1" applyBorder="1"/>
    <xf numFmtId="41" fontId="7" fillId="11" borderId="0" xfId="0" applyNumberFormat="1" applyFont="1" applyFill="1"/>
    <xf numFmtId="41" fontId="8" fillId="11" borderId="0" xfId="0" applyNumberFormat="1" applyFont="1" applyFill="1" applyAlignment="1">
      <alignment horizontal="right"/>
    </xf>
    <xf numFmtId="41" fontId="8" fillId="11" borderId="0" xfId="1" applyNumberFormat="1" applyFont="1" applyFill="1" applyBorder="1" applyAlignment="1">
      <alignment horizontal="center"/>
    </xf>
    <xf numFmtId="41" fontId="8" fillId="11" borderId="0" xfId="0" applyNumberFormat="1" applyFont="1" applyFill="1" applyAlignment="1">
      <alignment horizontal="center"/>
    </xf>
    <xf numFmtId="41" fontId="8" fillId="10" borderId="0" xfId="0" applyNumberFormat="1" applyFont="1" applyFill="1" applyBorder="1" applyAlignment="1">
      <alignment horizontal="center"/>
    </xf>
    <xf numFmtId="41" fontId="8" fillId="10" borderId="0" xfId="1" applyNumberFormat="1" applyFont="1" applyFill="1" applyBorder="1" applyAlignment="1">
      <alignment horizontal="center"/>
    </xf>
    <xf numFmtId="41" fontId="8" fillId="10" borderId="0" xfId="0" applyNumberFormat="1" applyFont="1" applyFill="1" applyAlignment="1">
      <alignment horizontal="center"/>
    </xf>
    <xf numFmtId="41" fontId="8" fillId="10" borderId="5" xfId="1" applyNumberFormat="1" applyFont="1" applyFill="1" applyBorder="1"/>
    <xf numFmtId="9" fontId="9" fillId="10" borderId="0" xfId="5" applyFont="1" applyFill="1" applyBorder="1"/>
    <xf numFmtId="9" fontId="8" fillId="10" borderId="0" xfId="5" applyFont="1" applyFill="1" applyBorder="1" applyAlignment="1">
      <alignment horizontal="right"/>
    </xf>
    <xf numFmtId="41" fontId="8" fillId="5" borderId="0" xfId="0" applyNumberFormat="1" applyFont="1" applyFill="1"/>
    <xf numFmtId="9" fontId="9" fillId="5" borderId="0" xfId="5" applyFont="1" applyFill="1"/>
    <xf numFmtId="41" fontId="8" fillId="5" borderId="0" xfId="0" applyNumberFormat="1" applyFont="1" applyFill="1" applyBorder="1" applyAlignment="1">
      <alignment horizontal="center"/>
    </xf>
    <xf numFmtId="41" fontId="8" fillId="5" borderId="0" xfId="0" applyNumberFormat="1" applyFont="1" applyFill="1" applyAlignment="1">
      <alignment horizontal="right"/>
    </xf>
    <xf numFmtId="9" fontId="8" fillId="5" borderId="0" xfId="5" applyFont="1" applyFill="1" applyAlignment="1">
      <alignment horizontal="right"/>
    </xf>
    <xf numFmtId="41" fontId="8" fillId="5" borderId="0" xfId="1" applyNumberFormat="1" applyFont="1" applyFill="1" applyBorder="1" applyAlignment="1">
      <alignment horizontal="center"/>
    </xf>
    <xf numFmtId="41" fontId="8" fillId="5" borderId="0" xfId="0" applyNumberFormat="1" applyFont="1" applyFill="1" applyAlignment="1">
      <alignment horizontal="center"/>
    </xf>
    <xf numFmtId="9" fontId="8" fillId="5" borderId="0" xfId="5" applyFont="1" applyFill="1" applyAlignment="1">
      <alignment horizontal="center"/>
    </xf>
    <xf numFmtId="41" fontId="8" fillId="5" borderId="2" xfId="1" applyNumberFormat="1" applyFont="1" applyFill="1" applyBorder="1"/>
    <xf numFmtId="41" fontId="8" fillId="5" borderId="5" xfId="1" applyNumberFormat="1" applyFont="1" applyFill="1" applyBorder="1"/>
    <xf numFmtId="41" fontId="8" fillId="13" borderId="0" xfId="0" applyNumberFormat="1" applyFont="1" applyFill="1"/>
    <xf numFmtId="41" fontId="9" fillId="13" borderId="0" xfId="0" applyNumberFormat="1" applyFont="1" applyFill="1"/>
    <xf numFmtId="9" fontId="9" fillId="13" borderId="0" xfId="5" applyFont="1" applyFill="1"/>
    <xf numFmtId="41" fontId="8" fillId="13" borderId="0" xfId="0" applyNumberFormat="1" applyFont="1" applyFill="1" applyBorder="1" applyAlignment="1">
      <alignment horizontal="center"/>
    </xf>
    <xf numFmtId="41" fontId="8" fillId="13" borderId="0" xfId="0" applyNumberFormat="1" applyFont="1" applyFill="1" applyAlignment="1">
      <alignment horizontal="right"/>
    </xf>
    <xf numFmtId="9" fontId="8" fillId="13" borderId="0" xfId="5" applyFont="1" applyFill="1" applyAlignment="1">
      <alignment horizontal="right"/>
    </xf>
    <xf numFmtId="41" fontId="8" fillId="13" borderId="0" xfId="1" applyNumberFormat="1" applyFont="1" applyFill="1" applyBorder="1" applyAlignment="1">
      <alignment horizontal="center"/>
    </xf>
    <xf numFmtId="41" fontId="8" fillId="13" borderId="0" xfId="0" applyNumberFormat="1" applyFont="1" applyFill="1" applyAlignment="1">
      <alignment horizontal="center"/>
    </xf>
    <xf numFmtId="9" fontId="8" fillId="13" borderId="0" xfId="5" applyFont="1" applyFill="1" applyAlignment="1">
      <alignment horizontal="center"/>
    </xf>
    <xf numFmtId="9" fontId="8" fillId="13" borderId="0" xfId="5" applyFont="1" applyFill="1"/>
    <xf numFmtId="41" fontId="8" fillId="13" borderId="2" xfId="1" applyNumberFormat="1" applyFont="1" applyFill="1" applyBorder="1"/>
    <xf numFmtId="9" fontId="8" fillId="13" borderId="2" xfId="5" applyFont="1" applyFill="1" applyBorder="1" applyAlignment="1">
      <alignment wrapText="1"/>
    </xf>
    <xf numFmtId="41" fontId="8" fillId="13" borderId="5" xfId="1" applyNumberFormat="1" applyFont="1" applyFill="1" applyBorder="1"/>
    <xf numFmtId="9" fontId="8" fillId="13" borderId="5" xfId="5" applyFont="1" applyFill="1" applyBorder="1"/>
    <xf numFmtId="9" fontId="0" fillId="0" borderId="0" xfId="5" applyFont="1" applyBorder="1"/>
    <xf numFmtId="9" fontId="0" fillId="0" borderId="0" xfId="5" applyFont="1" applyFill="1" applyBorder="1"/>
    <xf numFmtId="168" fontId="0" fillId="0" borderId="0" xfId="1" applyNumberFormat="1" applyFont="1"/>
    <xf numFmtId="168" fontId="0" fillId="10" borderId="0" xfId="0" applyNumberFormat="1" applyFill="1"/>
    <xf numFmtId="168" fontId="0" fillId="0" borderId="2" xfId="1" applyNumberFormat="1" applyFont="1" applyBorder="1"/>
    <xf numFmtId="168" fontId="0" fillId="11" borderId="0" xfId="0" applyNumberFormat="1" applyFill="1"/>
    <xf numFmtId="170" fontId="7" fillId="11" borderId="0" xfId="5" applyNumberFormat="1" applyFont="1" applyFill="1" applyBorder="1"/>
    <xf numFmtId="170" fontId="9" fillId="11" borderId="0" xfId="5" applyNumberFormat="1" applyFont="1" applyFill="1" applyBorder="1"/>
    <xf numFmtId="170" fontId="8" fillId="11" borderId="0" xfId="5" applyNumberFormat="1" applyFont="1" applyFill="1" applyBorder="1" applyAlignment="1">
      <alignment horizontal="center"/>
    </xf>
    <xf numFmtId="170" fontId="0" fillId="0" borderId="0" xfId="0" applyNumberFormat="1" applyFill="1" applyBorder="1"/>
    <xf numFmtId="170" fontId="2" fillId="0" borderId="0" xfId="0" applyNumberFormat="1" applyFont="1" applyFill="1" applyBorder="1"/>
    <xf numFmtId="170" fontId="0" fillId="0" borderId="0" xfId="5" applyNumberFormat="1" applyFont="1" applyFill="1" applyBorder="1"/>
    <xf numFmtId="9" fontId="8" fillId="0" borderId="0" xfId="5" applyFont="1" applyFill="1" applyBorder="1"/>
    <xf numFmtId="9" fontId="8" fillId="0" borderId="0" xfId="5" applyFont="1" applyFill="1" applyBorder="1" applyAlignment="1">
      <alignment horizontal="center"/>
    </xf>
    <xf numFmtId="9" fontId="9" fillId="0" borderId="0" xfId="5" applyFont="1" applyFill="1" applyBorder="1"/>
    <xf numFmtId="9" fontId="8" fillId="0" borderId="0" xfId="5" applyFont="1" applyFill="1" applyBorder="1" applyAlignment="1">
      <alignment wrapText="1"/>
    </xf>
    <xf numFmtId="9" fontId="10" fillId="0" borderId="0" xfId="5" applyFont="1" applyFill="1" applyBorder="1"/>
    <xf numFmtId="41" fontId="2" fillId="0" borderId="0" xfId="0" applyNumberFormat="1" applyFont="1"/>
    <xf numFmtId="41" fontId="2" fillId="0" borderId="0" xfId="1" applyNumberFormat="1" applyFont="1"/>
    <xf numFmtId="0" fontId="2" fillId="0" borderId="0" xfId="0" applyFont="1" applyFill="1" applyBorder="1"/>
    <xf numFmtId="41" fontId="2" fillId="0" borderId="2" xfId="0" applyNumberFormat="1" applyFont="1" applyBorder="1"/>
    <xf numFmtId="41" fontId="2" fillId="0" borderId="2" xfId="1" applyNumberFormat="1" applyFont="1" applyBorder="1"/>
    <xf numFmtId="41" fontId="2" fillId="0" borderId="0" xfId="0" applyNumberFormat="1" applyFont="1" applyFill="1"/>
    <xf numFmtId="41" fontId="0" fillId="0" borderId="0" xfId="0" applyNumberFormat="1"/>
    <xf numFmtId="41" fontId="8" fillId="0" borderId="0" xfId="0" applyNumberFormat="1" applyFont="1" applyFill="1" applyAlignment="1">
      <alignment horizontal="center"/>
    </xf>
    <xf numFmtId="170" fontId="8" fillId="0" borderId="0" xfId="5" applyNumberFormat="1" applyFont="1" applyFill="1" applyBorder="1" applyAlignment="1">
      <alignment horizontal="center"/>
    </xf>
    <xf numFmtId="15" fontId="8" fillId="11" borderId="0" xfId="0" quotePrefix="1" applyNumberFormat="1" applyFont="1" applyFill="1" applyAlignment="1">
      <alignment horizontal="center"/>
    </xf>
    <xf numFmtId="41" fontId="8" fillId="10" borderId="0" xfId="0" quotePrefix="1" applyNumberFormat="1" applyFont="1" applyFill="1" applyAlignment="1">
      <alignment horizontal="center"/>
    </xf>
    <xf numFmtId="41" fontId="8" fillId="5" borderId="0" xfId="0" quotePrefix="1" applyNumberFormat="1" applyFont="1" applyFill="1" applyAlignment="1">
      <alignment horizontal="center"/>
    </xf>
    <xf numFmtId="41" fontId="8" fillId="13" borderId="0" xfId="0" quotePrefix="1" applyNumberFormat="1" applyFont="1" applyFill="1" applyAlignment="1">
      <alignment horizontal="center"/>
    </xf>
    <xf numFmtId="15" fontId="8" fillId="12" borderId="0" xfId="0" quotePrefix="1" applyNumberFormat="1" applyFont="1" applyFill="1" applyAlignment="1">
      <alignment horizontal="center"/>
    </xf>
    <xf numFmtId="41" fontId="8" fillId="0" borderId="0" xfId="0" quotePrefix="1" applyNumberFormat="1" applyFont="1" applyFill="1" applyAlignment="1">
      <alignment horizontal="center"/>
    </xf>
    <xf numFmtId="9" fontId="8" fillId="0" borderId="0" xfId="5" applyFont="1" applyFill="1" applyAlignment="1">
      <alignment horizontal="center"/>
    </xf>
    <xf numFmtId="15" fontId="8" fillId="0" borderId="0" xfId="0" quotePrefix="1" applyNumberFormat="1" applyFont="1" applyFill="1" applyAlignment="1">
      <alignment horizontal="center"/>
    </xf>
    <xf numFmtId="41" fontId="8" fillId="0" borderId="0" xfId="0" applyNumberFormat="1" applyFont="1" applyFill="1" applyAlignment="1">
      <alignment horizontal="left"/>
    </xf>
    <xf numFmtId="41" fontId="8" fillId="11" borderId="0" xfId="0" applyNumberFormat="1" applyFont="1" applyFill="1" applyBorder="1" applyAlignment="1">
      <alignment horizontal="left"/>
    </xf>
    <xf numFmtId="41" fontId="9" fillId="0" borderId="3" xfId="0" applyNumberFormat="1" applyFont="1" applyFill="1" applyBorder="1"/>
    <xf numFmtId="41" fontId="14" fillId="0" borderId="0" xfId="0" applyNumberFormat="1" applyFont="1" applyFill="1"/>
    <xf numFmtId="41" fontId="9" fillId="0" borderId="0" xfId="0" applyNumberFormat="1" applyFont="1" applyFill="1" applyBorder="1" applyAlignment="1">
      <alignment horizontal="center"/>
    </xf>
    <xf numFmtId="41" fontId="9" fillId="0" borderId="1" xfId="0" applyNumberFormat="1" applyFont="1" applyFill="1" applyBorder="1"/>
    <xf numFmtId="41" fontId="7" fillId="0" borderId="0" xfId="1" applyNumberFormat="1" applyFont="1" applyFill="1"/>
    <xf numFmtId="41" fontId="9" fillId="0" borderId="3" xfId="0" applyNumberFormat="1" applyFont="1" applyFill="1" applyBorder="1" applyAlignment="1">
      <alignment wrapText="1"/>
    </xf>
    <xf numFmtId="41" fontId="9" fillId="0" borderId="2" xfId="1" applyNumberFormat="1" applyFont="1" applyBorder="1"/>
    <xf numFmtId="43" fontId="0" fillId="0" borderId="0" xfId="1" applyFont="1"/>
    <xf numFmtId="0" fontId="0" fillId="0" borderId="0" xfId="0" applyFill="1" applyBorder="1"/>
    <xf numFmtId="41" fontId="10" fillId="0" borderId="0" xfId="1" applyNumberFormat="1" applyFont="1" applyFill="1" applyBorder="1"/>
    <xf numFmtId="41" fontId="10" fillId="0" borderId="0" xfId="1" applyNumberFormat="1" applyFont="1" applyBorder="1"/>
    <xf numFmtId="9" fontId="10" fillId="0" borderId="0" xfId="5" applyFont="1" applyBorder="1"/>
    <xf numFmtId="41" fontId="8" fillId="0" borderId="0" xfId="0" applyNumberFormat="1" applyFont="1" applyFill="1" applyBorder="1" applyAlignment="1">
      <alignment horizontal="center"/>
    </xf>
    <xf numFmtId="9" fontId="10" fillId="0" borderId="0" xfId="5" applyFont="1" applyFill="1"/>
    <xf numFmtId="41" fontId="8" fillId="13" borderId="0" xfId="0" applyNumberFormat="1" applyFont="1" applyFill="1" applyAlignment="1">
      <alignment horizontal="center" wrapText="1"/>
    </xf>
    <xf numFmtId="41" fontId="8" fillId="0" borderId="1" xfId="0" applyNumberFormat="1" applyFont="1" applyFill="1" applyBorder="1" applyAlignment="1"/>
    <xf numFmtId="41" fontId="8" fillId="11" borderId="0" xfId="0" applyNumberFormat="1" applyFont="1" applyFill="1" applyAlignment="1">
      <alignment horizontal="center" wrapText="1"/>
    </xf>
    <xf numFmtId="41" fontId="8" fillId="0" borderId="0" xfId="0" applyNumberFormat="1" applyFont="1" applyFill="1" applyAlignment="1">
      <alignment horizontal="center" wrapText="1"/>
    </xf>
    <xf numFmtId="9" fontId="8" fillId="11" borderId="0" xfId="5" applyNumberFormat="1" applyFont="1" applyFill="1" applyBorder="1" applyAlignment="1">
      <alignment horizontal="center"/>
    </xf>
    <xf numFmtId="9" fontId="5" fillId="10" borderId="0" xfId="5" applyFont="1" applyFill="1" applyBorder="1" applyAlignment="1">
      <alignment horizontal="right"/>
    </xf>
    <xf numFmtId="41" fontId="8" fillId="13" borderId="1" xfId="1" quotePrefix="1" applyNumberFormat="1" applyFont="1" applyFill="1" applyBorder="1" applyAlignment="1">
      <alignment horizontal="center" wrapText="1"/>
    </xf>
    <xf numFmtId="41" fontId="12" fillId="0" borderId="0" xfId="0" applyNumberFormat="1" applyFont="1" applyFill="1" applyBorder="1" applyAlignment="1">
      <alignment wrapText="1"/>
    </xf>
    <xf numFmtId="41" fontId="8" fillId="0" borderId="0" xfId="1" applyNumberFormat="1" applyFont="1" applyBorder="1"/>
    <xf numFmtId="41" fontId="8" fillId="0" borderId="0" xfId="0" applyNumberFormat="1" applyFont="1" applyFill="1" applyBorder="1" applyAlignment="1">
      <alignment horizontal="center" wrapText="1"/>
    </xf>
    <xf numFmtId="43" fontId="9" fillId="0" borderId="0" xfId="0" applyNumberFormat="1" applyFont="1" applyFill="1" applyBorder="1"/>
    <xf numFmtId="0" fontId="0" fillId="12" borderId="0" xfId="0" applyFill="1"/>
    <xf numFmtId="168" fontId="5" fillId="10" borderId="0" xfId="0" applyNumberFormat="1" applyFont="1" applyFill="1"/>
    <xf numFmtId="168" fontId="5" fillId="11" borderId="0" xfId="0" applyNumberFormat="1" applyFont="1" applyFill="1"/>
    <xf numFmtId="0" fontId="14" fillId="0" borderId="0" xfId="0" applyFont="1" applyFill="1"/>
    <xf numFmtId="168" fontId="5" fillId="0" borderId="2" xfId="1" applyNumberFormat="1" applyFont="1" applyBorder="1"/>
    <xf numFmtId="9" fontId="8" fillId="0" borderId="0" xfId="5" applyFont="1" applyFill="1" applyBorder="1" applyAlignment="1">
      <alignment horizontal="right"/>
    </xf>
    <xf numFmtId="0" fontId="5" fillId="0" borderId="0" xfId="0" applyFont="1" applyFill="1" applyAlignment="1">
      <alignment horizontal="center"/>
    </xf>
    <xf numFmtId="9" fontId="7" fillId="0" borderId="0" xfId="5" applyFont="1" applyFill="1" applyBorder="1"/>
    <xf numFmtId="0" fontId="16" fillId="0" borderId="0" xfId="0" applyFont="1" applyFill="1"/>
    <xf numFmtId="168" fontId="0" fillId="0" borderId="0" xfId="1" applyNumberFormat="1" applyFont="1" applyFill="1"/>
    <xf numFmtId="43" fontId="0" fillId="0" borderId="0" xfId="1" applyFont="1" applyFill="1"/>
    <xf numFmtId="41" fontId="2" fillId="0" borderId="0" xfId="1" applyNumberFormat="1" applyFont="1" applyFill="1"/>
    <xf numFmtId="0" fontId="5" fillId="0" borderId="0" xfId="0" applyFont="1"/>
    <xf numFmtId="43" fontId="0" fillId="0" borderId="0" xfId="0" applyNumberFormat="1" applyFill="1"/>
    <xf numFmtId="6" fontId="0" fillId="0" borderId="0" xfId="0" applyNumberFormat="1" applyFill="1"/>
    <xf numFmtId="168" fontId="9" fillId="0" borderId="0" xfId="0" applyNumberFormat="1" applyFont="1" applyFill="1"/>
    <xf numFmtId="41" fontId="9" fillId="0" borderId="0" xfId="0" quotePrefix="1" applyNumberFormat="1" applyFont="1" applyFill="1"/>
    <xf numFmtId="41" fontId="8" fillId="0" borderId="2" xfId="1" applyNumberFormat="1" applyFont="1" applyBorder="1"/>
    <xf numFmtId="41" fontId="9" fillId="5" borderId="0" xfId="0" applyNumberFormat="1" applyFont="1" applyFill="1" applyAlignment="1">
      <alignment wrapText="1"/>
    </xf>
    <xf numFmtId="41" fontId="8" fillId="5" borderId="1" xfId="0" applyNumberFormat="1" applyFont="1" applyFill="1" applyBorder="1" applyAlignment="1">
      <alignment horizontal="center"/>
    </xf>
    <xf numFmtId="41" fontId="9" fillId="5" borderId="2" xfId="1" applyNumberFormat="1" applyFont="1" applyFill="1" applyBorder="1"/>
    <xf numFmtId="41" fontId="8" fillId="9" borderId="0" xfId="0" applyNumberFormat="1" applyFont="1" applyFill="1"/>
    <xf numFmtId="41" fontId="8" fillId="5" borderId="0" xfId="1" applyNumberFormat="1" applyFont="1" applyFill="1" applyBorder="1"/>
    <xf numFmtId="41" fontId="8" fillId="9" borderId="5" xfId="1" applyNumberFormat="1" applyFont="1" applyFill="1" applyBorder="1"/>
    <xf numFmtId="41" fontId="8" fillId="12" borderId="0" xfId="1" applyNumberFormat="1" applyFont="1" applyFill="1" applyBorder="1"/>
    <xf numFmtId="41" fontId="8" fillId="0" borderId="3" xfId="1" applyNumberFormat="1" applyFont="1" applyBorder="1"/>
    <xf numFmtId="41" fontId="8" fillId="11" borderId="0" xfId="1" applyNumberFormat="1" applyFont="1" applyFill="1" applyBorder="1"/>
    <xf numFmtId="41" fontId="9" fillId="11" borderId="0" xfId="0" applyNumberFormat="1" applyFont="1" applyFill="1" applyAlignment="1">
      <alignment wrapText="1"/>
    </xf>
    <xf numFmtId="41" fontId="9" fillId="11" borderId="0" xfId="1" applyNumberFormat="1" applyFont="1" applyFill="1"/>
    <xf numFmtId="41" fontId="9" fillId="11" borderId="2" xfId="1" applyNumberFormat="1" applyFont="1" applyFill="1" applyBorder="1"/>
    <xf numFmtId="41" fontId="8" fillId="0" borderId="0" xfId="1" applyNumberFormat="1" applyFont="1"/>
    <xf numFmtId="41" fontId="10" fillId="0" borderId="2" xfId="1" applyNumberFormat="1" applyFont="1" applyBorder="1"/>
    <xf numFmtId="15" fontId="8" fillId="13" borderId="0" xfId="0" quotePrefix="1" applyNumberFormat="1" applyFont="1" applyFill="1" applyAlignment="1">
      <alignment horizontal="center"/>
    </xf>
    <xf numFmtId="170" fontId="5" fillId="0" borderId="0" xfId="0" applyNumberFormat="1" applyFont="1" applyFill="1" applyBorder="1"/>
    <xf numFmtId="41" fontId="9" fillId="5" borderId="0" xfId="0" applyNumberFormat="1" applyFont="1" applyFill="1" applyBorder="1" applyAlignment="1">
      <alignment wrapText="1"/>
    </xf>
    <xf numFmtId="41" fontId="9" fillId="5" borderId="0" xfId="1" applyNumberFormat="1" applyFont="1" applyFill="1" applyBorder="1"/>
    <xf numFmtId="41" fontId="9" fillId="12" borderId="0" xfId="1" applyNumberFormat="1" applyFont="1" applyFill="1" applyBorder="1"/>
    <xf numFmtId="41" fontId="9" fillId="12" borderId="2" xfId="1" applyNumberFormat="1" applyFont="1" applyFill="1" applyBorder="1"/>
    <xf numFmtId="41" fontId="9" fillId="12" borderId="0" xfId="0" applyNumberFormat="1" applyFont="1" applyFill="1" applyBorder="1" applyAlignment="1">
      <alignment wrapText="1"/>
    </xf>
    <xf numFmtId="41" fontId="9" fillId="12" borderId="2" xfId="0" applyNumberFormat="1" applyFont="1" applyFill="1" applyBorder="1" applyAlignment="1">
      <alignment wrapText="1"/>
    </xf>
    <xf numFmtId="41" fontId="7" fillId="0" borderId="2" xfId="1" applyNumberFormat="1" applyFont="1" applyBorder="1"/>
    <xf numFmtId="9" fontId="2" fillId="0" borderId="0" xfId="5" applyFont="1" applyFill="1" applyBorder="1"/>
    <xf numFmtId="41" fontId="10" fillId="0" borderId="2" xfId="1" applyNumberFormat="1" applyFont="1" applyFill="1" applyBorder="1"/>
    <xf numFmtId="0" fontId="0" fillId="0" borderId="0" xfId="0" quotePrefix="1"/>
    <xf numFmtId="15" fontId="8" fillId="11" borderId="1" xfId="0" quotePrefix="1" applyNumberFormat="1" applyFont="1" applyFill="1" applyBorder="1" applyAlignment="1">
      <alignment horizontal="center"/>
    </xf>
    <xf numFmtId="41" fontId="8" fillId="11" borderId="1" xfId="0" applyNumberFormat="1" applyFont="1" applyFill="1" applyBorder="1" applyAlignment="1">
      <alignment horizontal="center"/>
    </xf>
    <xf numFmtId="41" fontId="8" fillId="11" borderId="1" xfId="0" applyNumberFormat="1" applyFont="1" applyFill="1" applyBorder="1" applyAlignment="1">
      <alignment horizontal="center" wrapText="1"/>
    </xf>
    <xf numFmtId="9" fontId="8" fillId="11" borderId="1" xfId="5" applyNumberFormat="1" applyFont="1" applyFill="1" applyBorder="1" applyAlignment="1">
      <alignment horizontal="center"/>
    </xf>
    <xf numFmtId="0" fontId="0" fillId="0" borderId="1" xfId="0" applyBorder="1"/>
    <xf numFmtId="41" fontId="8" fillId="10" borderId="1" xfId="0" applyNumberFormat="1" applyFont="1" applyFill="1" applyBorder="1" applyAlignment="1">
      <alignment horizontal="center"/>
    </xf>
    <xf numFmtId="9" fontId="8" fillId="10" borderId="1" xfId="5" applyFont="1" applyFill="1" applyBorder="1" applyAlignment="1">
      <alignment horizontal="right"/>
    </xf>
    <xf numFmtId="41" fontId="8" fillId="10" borderId="1" xfId="0" applyNumberFormat="1" applyFont="1" applyFill="1" applyBorder="1" applyAlignment="1">
      <alignment horizontal="center" wrapText="1"/>
    </xf>
    <xf numFmtId="0" fontId="5" fillId="0" borderId="1" xfId="0" applyFont="1" applyFill="1" applyBorder="1" applyAlignment="1">
      <alignment horizontal="center"/>
    </xf>
    <xf numFmtId="41" fontId="8" fillId="5" borderId="1" xfId="0" quotePrefix="1" applyNumberFormat="1" applyFont="1" applyFill="1" applyBorder="1" applyAlignment="1">
      <alignment horizontal="center"/>
    </xf>
    <xf numFmtId="41" fontId="8" fillId="5" borderId="1" xfId="0" applyNumberFormat="1" applyFont="1" applyFill="1" applyBorder="1"/>
    <xf numFmtId="9" fontId="8" fillId="5" borderId="1" xfId="5" applyFont="1" applyFill="1" applyBorder="1" applyAlignment="1">
      <alignment horizontal="center"/>
    </xf>
    <xf numFmtId="41" fontId="8" fillId="5" borderId="1" xfId="0" applyNumberFormat="1" applyFont="1" applyFill="1" applyBorder="1" applyAlignment="1">
      <alignment horizontal="center" wrapText="1"/>
    </xf>
    <xf numFmtId="16" fontId="8" fillId="5" borderId="1" xfId="0" quotePrefix="1" applyNumberFormat="1" applyFont="1" applyFill="1" applyBorder="1" applyAlignment="1">
      <alignment horizontal="center" wrapText="1"/>
    </xf>
    <xf numFmtId="15" fontId="8" fillId="12" borderId="1" xfId="0" quotePrefix="1" applyNumberFormat="1" applyFont="1" applyFill="1" applyBorder="1" applyAlignment="1">
      <alignment horizontal="center"/>
    </xf>
    <xf numFmtId="41" fontId="8" fillId="12" borderId="1" xfId="0" applyNumberFormat="1" applyFont="1" applyFill="1" applyBorder="1" applyAlignment="1">
      <alignment horizontal="center"/>
    </xf>
    <xf numFmtId="41" fontId="8" fillId="12" borderId="1" xfId="0" applyNumberFormat="1" applyFont="1" applyFill="1" applyBorder="1"/>
    <xf numFmtId="41" fontId="8" fillId="12" borderId="1" xfId="0" applyNumberFormat="1" applyFont="1" applyFill="1" applyBorder="1" applyAlignment="1">
      <alignment horizontal="center" wrapText="1"/>
    </xf>
    <xf numFmtId="9" fontId="8" fillId="12" borderId="1" xfId="5" applyFont="1" applyFill="1" applyBorder="1" applyAlignment="1">
      <alignment horizontal="center"/>
    </xf>
    <xf numFmtId="0" fontId="5" fillId="12" borderId="1" xfId="0" applyFont="1" applyFill="1" applyBorder="1" applyAlignment="1">
      <alignment horizontal="center"/>
    </xf>
    <xf numFmtId="41" fontId="9" fillId="7" borderId="1" xfId="0" applyNumberFormat="1" applyFont="1" applyFill="1" applyBorder="1" applyAlignment="1">
      <alignment wrapText="1"/>
    </xf>
    <xf numFmtId="0" fontId="0" fillId="0" borderId="0" xfId="0" applyFont="1"/>
    <xf numFmtId="3" fontId="0" fillId="0" borderId="0" xfId="0" quotePrefix="1" applyNumberFormat="1" applyFill="1"/>
    <xf numFmtId="168" fontId="9" fillId="0" borderId="0" xfId="0" applyNumberFormat="1" applyFont="1"/>
    <xf numFmtId="41" fontId="5" fillId="0" borderId="0" xfId="0" applyNumberFormat="1" applyFont="1"/>
    <xf numFmtId="41" fontId="0" fillId="0" borderId="0" xfId="0" applyNumberFormat="1" applyFill="1"/>
    <xf numFmtId="41" fontId="0" fillId="0" borderId="2" xfId="0" applyNumberFormat="1" applyFill="1" applyBorder="1"/>
    <xf numFmtId="168" fontId="0" fillId="0" borderId="0" xfId="0" applyNumberFormat="1"/>
    <xf numFmtId="43" fontId="0" fillId="0" borderId="0" xfId="0" applyNumberFormat="1"/>
    <xf numFmtId="41" fontId="7" fillId="0" borderId="0" xfId="1" applyNumberFormat="1" applyFont="1" applyFill="1" applyBorder="1"/>
    <xf numFmtId="168" fontId="2" fillId="0" borderId="0" xfId="1" applyNumberFormat="1" applyFont="1" applyBorder="1"/>
    <xf numFmtId="41" fontId="7" fillId="0" borderId="0" xfId="1" applyNumberFormat="1" applyFont="1"/>
    <xf numFmtId="170" fontId="2" fillId="0" borderId="0" xfId="5" applyNumberFormat="1" applyFont="1" applyFill="1" applyBorder="1"/>
    <xf numFmtId="168" fontId="2" fillId="0" borderId="0" xfId="1" applyNumberFormat="1" applyFont="1"/>
    <xf numFmtId="41" fontId="7" fillId="0" borderId="0" xfId="1" applyNumberFormat="1" applyFont="1" applyBorder="1"/>
    <xf numFmtId="9" fontId="7" fillId="0" borderId="0" xfId="5" applyFont="1" applyFill="1"/>
    <xf numFmtId="9" fontId="7" fillId="0" borderId="0" xfId="5" applyFont="1" applyBorder="1"/>
    <xf numFmtId="41" fontId="5" fillId="0" borderId="0" xfId="1" quotePrefix="1" applyNumberFormat="1" applyFont="1" applyFill="1" applyAlignment="1">
      <alignment horizontal="center"/>
    </xf>
    <xf numFmtId="41" fontId="9" fillId="5" borderId="2" xfId="0" applyNumberFormat="1" applyFont="1" applyFill="1" applyBorder="1" applyAlignment="1">
      <alignment wrapText="1"/>
    </xf>
    <xf numFmtId="0" fontId="15" fillId="0" borderId="0" xfId="0" applyFont="1" applyFill="1"/>
    <xf numFmtId="168" fontId="5" fillId="0" borderId="0" xfId="1" applyNumberFormat="1" applyFont="1"/>
    <xf numFmtId="188" fontId="8" fillId="10" borderId="0" xfId="1" applyNumberFormat="1" applyFont="1" applyFill="1" applyBorder="1" applyAlignment="1">
      <alignment horizontal="center"/>
    </xf>
    <xf numFmtId="44" fontId="0" fillId="0" borderId="0" xfId="3" applyFont="1" applyFill="1"/>
    <xf numFmtId="43" fontId="9" fillId="0" borderId="0" xfId="1" applyFont="1" applyFill="1" applyBorder="1" applyAlignment="1">
      <alignment wrapText="1"/>
    </xf>
    <xf numFmtId="43" fontId="2" fillId="0" borderId="0" xfId="1" applyFont="1" applyFill="1"/>
    <xf numFmtId="43" fontId="16" fillId="0" borderId="0" xfId="1" applyFont="1" applyFill="1"/>
    <xf numFmtId="43" fontId="9" fillId="0" borderId="0" xfId="1" applyFont="1" applyFill="1" applyAlignment="1">
      <alignment wrapText="1"/>
    </xf>
    <xf numFmtId="41" fontId="2" fillId="0" borderId="0" xfId="0" applyNumberFormat="1" applyFont="1" applyAlignment="1">
      <alignment wrapText="1"/>
    </xf>
    <xf numFmtId="41" fontId="2" fillId="0" borderId="0" xfId="0" applyNumberFormat="1" applyFont="1" applyFill="1" applyBorder="1"/>
    <xf numFmtId="41" fontId="5" fillId="0" borderId="0" xfId="0" applyNumberFormat="1" applyFont="1" applyFill="1" applyBorder="1"/>
    <xf numFmtId="41" fontId="15" fillId="0" borderId="0" xfId="1" applyNumberFormat="1" applyFont="1" applyBorder="1"/>
    <xf numFmtId="41" fontId="2" fillId="0" borderId="0" xfId="0" applyNumberFormat="1" applyFont="1" applyBorder="1"/>
    <xf numFmtId="41" fontId="0" fillId="0" borderId="0" xfId="1" applyNumberFormat="1" applyFont="1"/>
    <xf numFmtId="41" fontId="0" fillId="0" borderId="2" xfId="1" applyNumberFormat="1" applyFont="1" applyBorder="1"/>
    <xf numFmtId="41" fontId="5" fillId="0" borderId="0" xfId="0" applyNumberFormat="1" applyFont="1" applyBorder="1"/>
    <xf numFmtId="168" fontId="8" fillId="0" borderId="0" xfId="0" applyNumberFormat="1" applyFont="1"/>
    <xf numFmtId="9" fontId="8" fillId="0" borderId="0" xfId="5" applyFont="1" applyFill="1"/>
    <xf numFmtId="43" fontId="2" fillId="0" borderId="0" xfId="1" applyFont="1"/>
    <xf numFmtId="41" fontId="6" fillId="7" borderId="0" xfId="0" quotePrefix="1" applyNumberFormat="1" applyFont="1" applyFill="1"/>
    <xf numFmtId="41" fontId="6" fillId="7" borderId="0" xfId="0" applyNumberFormat="1" applyFont="1" applyFill="1"/>
    <xf numFmtId="41" fontId="6" fillId="0" borderId="0" xfId="0" applyNumberFormat="1" applyFont="1" applyFill="1"/>
    <xf numFmtId="15" fontId="8" fillId="7" borderId="0" xfId="0" quotePrefix="1" applyNumberFormat="1" applyFont="1" applyFill="1" applyAlignment="1">
      <alignment horizontal="center"/>
    </xf>
    <xf numFmtId="41" fontId="8" fillId="7" borderId="1" xfId="0" applyNumberFormat="1" applyFont="1" applyFill="1" applyBorder="1" applyAlignment="1">
      <alignment horizontal="center"/>
    </xf>
    <xf numFmtId="41" fontId="8" fillId="7" borderId="0" xfId="0" applyNumberFormat="1" applyFont="1" applyFill="1" applyAlignment="1">
      <alignment horizontal="right"/>
    </xf>
    <xf numFmtId="41" fontId="8" fillId="7" borderId="0" xfId="1" applyNumberFormat="1" applyFont="1" applyFill="1" applyBorder="1" applyAlignment="1">
      <alignment horizontal="center"/>
    </xf>
    <xf numFmtId="41" fontId="9" fillId="7" borderId="0" xfId="1" applyNumberFormat="1" applyFont="1" applyFill="1" applyBorder="1" applyAlignment="1">
      <alignment horizontal="center"/>
    </xf>
    <xf numFmtId="170" fontId="9" fillId="0" borderId="0" xfId="5" applyNumberFormat="1" applyFont="1" applyFill="1"/>
    <xf numFmtId="41" fontId="8" fillId="7" borderId="4" xfId="0" applyNumberFormat="1" applyFont="1" applyFill="1" applyBorder="1"/>
    <xf numFmtId="41" fontId="9" fillId="14" borderId="0" xfId="0" applyNumberFormat="1" applyFont="1" applyFill="1"/>
    <xf numFmtId="41" fontId="9" fillId="14" borderId="0" xfId="1" applyNumberFormat="1" applyFont="1" applyFill="1" applyBorder="1"/>
    <xf numFmtId="41" fontId="9" fillId="0" borderId="0" xfId="1" applyNumberFormat="1" applyFont="1" applyBorder="1"/>
    <xf numFmtId="41" fontId="8" fillId="15" borderId="0" xfId="1" applyNumberFormat="1" applyFont="1" applyFill="1" applyBorder="1"/>
    <xf numFmtId="41" fontId="8" fillId="15" borderId="0" xfId="0" applyNumberFormat="1" applyFont="1" applyFill="1"/>
    <xf numFmtId="41" fontId="8" fillId="5" borderId="3" xfId="0" applyNumberFormat="1" applyFont="1" applyFill="1" applyBorder="1"/>
    <xf numFmtId="196" fontId="9" fillId="0" borderId="0" xfId="0" applyNumberFormat="1" applyFont="1" applyFill="1"/>
    <xf numFmtId="41" fontId="6" fillId="5" borderId="0" xfId="0" quotePrefix="1" applyNumberFormat="1" applyFont="1" applyFill="1"/>
    <xf numFmtId="41" fontId="6" fillId="5" borderId="0" xfId="0" applyNumberFormat="1" applyFont="1" applyFill="1"/>
    <xf numFmtId="15" fontId="8" fillId="5" borderId="0" xfId="0" quotePrefix="1" applyNumberFormat="1" applyFont="1" applyFill="1" applyAlignment="1">
      <alignment horizontal="center"/>
    </xf>
    <xf numFmtId="41" fontId="9" fillId="0" borderId="10" xfId="0" applyNumberFormat="1" applyFont="1" applyFill="1" applyBorder="1" applyAlignment="1">
      <alignment wrapText="1"/>
    </xf>
    <xf numFmtId="41" fontId="8" fillId="7" borderId="3" xfId="0" applyNumberFormat="1" applyFont="1" applyFill="1" applyBorder="1"/>
    <xf numFmtId="41" fontId="9" fillId="14" borderId="0" xfId="0" applyNumberFormat="1" applyFont="1" applyFill="1" applyBorder="1" applyAlignment="1">
      <alignment wrapText="1"/>
    </xf>
    <xf numFmtId="41" fontId="9" fillId="14" borderId="0" xfId="0" applyNumberFormat="1" applyFont="1" applyFill="1" applyBorder="1"/>
    <xf numFmtId="43" fontId="9" fillId="14" borderId="0" xfId="0" applyNumberFormat="1" applyFont="1" applyFill="1" applyBorder="1"/>
    <xf numFmtId="9" fontId="9" fillId="14" borderId="0" xfId="5" applyFont="1" applyFill="1"/>
    <xf numFmtId="41" fontId="9" fillId="0" borderId="0" xfId="5" applyNumberFormat="1" applyFont="1"/>
    <xf numFmtId="37" fontId="9" fillId="0" borderId="0" xfId="1" applyNumberFormat="1" applyFont="1" applyFill="1" applyBorder="1" applyAlignment="1">
      <alignment wrapText="1"/>
    </xf>
    <xf numFmtId="37" fontId="9" fillId="0" borderId="2" xfId="1" applyNumberFormat="1" applyFont="1" applyFill="1" applyBorder="1" applyAlignment="1">
      <alignment wrapText="1"/>
    </xf>
    <xf numFmtId="41" fontId="8" fillId="12" borderId="3" xfId="1" applyNumberFormat="1" applyFont="1" applyFill="1" applyBorder="1"/>
    <xf numFmtId="41" fontId="5" fillId="0" borderId="0" xfId="1" applyNumberFormat="1" applyFont="1" applyFill="1" applyAlignment="1">
      <alignment horizontal="center" wrapText="1"/>
    </xf>
    <xf numFmtId="41" fontId="5" fillId="0" borderId="0" xfId="1" applyNumberFormat="1" applyFont="1" applyFill="1" applyAlignment="1">
      <alignment horizontal="center"/>
    </xf>
    <xf numFmtId="9" fontId="9" fillId="14" borderId="0" xfId="5" applyNumberFormat="1" applyFont="1" applyFill="1"/>
    <xf numFmtId="189" fontId="8" fillId="0" borderId="0" xfId="0" applyNumberFormat="1" applyFont="1" applyBorder="1" applyAlignment="1">
      <alignment horizontal="center"/>
    </xf>
    <xf numFmtId="41" fontId="16" fillId="0" borderId="11" xfId="0" applyNumberFormat="1" applyFont="1" applyBorder="1"/>
    <xf numFmtId="168" fontId="5" fillId="0" borderId="0" xfId="1" applyNumberFormat="1" applyFont="1" applyBorder="1"/>
    <xf numFmtId="41" fontId="8" fillId="13" borderId="3" xfId="1" applyNumberFormat="1" applyFont="1" applyFill="1" applyBorder="1"/>
    <xf numFmtId="168" fontId="8" fillId="11" borderId="2" xfId="1" applyNumberFormat="1" applyFont="1" applyFill="1" applyBorder="1"/>
    <xf numFmtId="43" fontId="8" fillId="10" borderId="2" xfId="1" applyNumberFormat="1" applyFont="1" applyFill="1" applyBorder="1"/>
    <xf numFmtId="43" fontId="8" fillId="12" borderId="0" xfId="1" applyNumberFormat="1" applyFont="1" applyFill="1" applyBorder="1"/>
    <xf numFmtId="0" fontId="0" fillId="13" borderId="0" xfId="0" applyFill="1"/>
    <xf numFmtId="41" fontId="16" fillId="0" borderId="0" xfId="0" applyNumberFormat="1" applyFont="1"/>
    <xf numFmtId="41" fontId="15" fillId="0" borderId="0" xfId="0" applyNumberFormat="1" applyFont="1"/>
    <xf numFmtId="0" fontId="2" fillId="10" borderId="0" xfId="0" applyFont="1" applyFill="1"/>
    <xf numFmtId="41" fontId="0" fillId="10" borderId="0" xfId="0" applyNumberFormat="1" applyFill="1"/>
    <xf numFmtId="0" fontId="0" fillId="10" borderId="0" xfId="0" applyFill="1"/>
    <xf numFmtId="0" fontId="16" fillId="0" borderId="0" xfId="0" applyFont="1" applyAlignment="1">
      <alignment horizontal="right"/>
    </xf>
    <xf numFmtId="0" fontId="15" fillId="0" borderId="0" xfId="0" applyFont="1" applyAlignment="1">
      <alignment horizontal="right"/>
    </xf>
    <xf numFmtId="41" fontId="15" fillId="0" borderId="0" xfId="1" applyNumberFormat="1" applyFont="1"/>
    <xf numFmtId="41" fontId="15" fillId="0" borderId="2" xfId="1" applyNumberFormat="1" applyFont="1" applyBorder="1"/>
    <xf numFmtId="41" fontId="15" fillId="10" borderId="0" xfId="0" applyNumberFormat="1" applyFont="1" applyFill="1"/>
    <xf numFmtId="0" fontId="15" fillId="0" borderId="0" xfId="0" applyFont="1"/>
    <xf numFmtId="41" fontId="16" fillId="4" borderId="0" xfId="0" applyNumberFormat="1" applyFont="1" applyFill="1"/>
    <xf numFmtId="188" fontId="9" fillId="14" borderId="0" xfId="0" applyNumberFormat="1" applyFont="1" applyFill="1"/>
    <xf numFmtId="13" fontId="9" fillId="0" borderId="0" xfId="0" quotePrefix="1" applyNumberFormat="1" applyFont="1" applyFill="1"/>
    <xf numFmtId="189" fontId="9" fillId="7" borderId="0" xfId="1" applyNumberFormat="1" applyFont="1" applyFill="1" applyBorder="1" applyAlignment="1">
      <alignment horizontal="center"/>
    </xf>
    <xf numFmtId="41" fontId="9" fillId="0" borderId="0" xfId="0" applyNumberFormat="1" applyFont="1" applyFill="1" applyAlignment="1"/>
    <xf numFmtId="41" fontId="9" fillId="0" borderId="2" xfId="1" applyNumberFormat="1" applyFont="1" applyFill="1" applyBorder="1" applyAlignment="1"/>
    <xf numFmtId="43" fontId="9" fillId="0" borderId="0" xfId="1" applyFont="1" applyFill="1" applyAlignment="1"/>
    <xf numFmtId="41" fontId="9" fillId="0" borderId="1" xfId="0" applyNumberFormat="1" applyFont="1" applyFill="1" applyBorder="1" applyAlignment="1"/>
    <xf numFmtId="41" fontId="9" fillId="0" borderId="0" xfId="1" applyNumberFormat="1" applyFont="1" applyFill="1" applyBorder="1" applyAlignment="1"/>
    <xf numFmtId="41" fontId="8" fillId="9" borderId="0" xfId="0" applyNumberFormat="1" applyFont="1" applyFill="1" applyAlignment="1"/>
    <xf numFmtId="41" fontId="8" fillId="9" borderId="4" xfId="0" applyNumberFormat="1" applyFont="1" applyFill="1" applyBorder="1" applyAlignment="1"/>
    <xf numFmtId="41" fontId="9" fillId="0" borderId="0" xfId="0" applyNumberFormat="1" applyFont="1" applyFill="1" applyBorder="1" applyAlignment="1"/>
    <xf numFmtId="41" fontId="9" fillId="0" borderId="2" xfId="0" applyNumberFormat="1" applyFont="1" applyFill="1" applyBorder="1" applyAlignment="1"/>
    <xf numFmtId="41" fontId="9" fillId="0" borderId="0" xfId="1" applyNumberFormat="1" applyFont="1" applyFill="1" applyAlignment="1"/>
    <xf numFmtId="168" fontId="9" fillId="0" borderId="0" xfId="0" applyNumberFormat="1" applyFont="1" applyFill="1" applyAlignment="1"/>
    <xf numFmtId="41" fontId="7" fillId="0" borderId="0" xfId="0" applyNumberFormat="1" applyFont="1" applyFill="1" applyAlignment="1"/>
    <xf numFmtId="41" fontId="7" fillId="0" borderId="0" xfId="1" applyNumberFormat="1" applyFont="1" applyFill="1" applyAlignment="1"/>
    <xf numFmtId="189" fontId="8" fillId="11" borderId="0" xfId="1" applyNumberFormat="1" applyFont="1" applyFill="1" applyBorder="1" applyAlignment="1">
      <alignment horizontal="center"/>
    </xf>
    <xf numFmtId="41" fontId="8" fillId="11" borderId="0" xfId="0" applyNumberFormat="1" applyFont="1" applyFill="1" applyAlignment="1">
      <alignment horizontal="left"/>
    </xf>
    <xf numFmtId="9" fontId="8" fillId="5" borderId="0" xfId="5" applyFont="1" applyFill="1" applyAlignment="1">
      <alignment horizontal="left"/>
    </xf>
    <xf numFmtId="9" fontId="5" fillId="10" borderId="0" xfId="5" applyFont="1" applyFill="1" applyBorder="1" applyAlignment="1">
      <alignment horizontal="left"/>
    </xf>
    <xf numFmtId="9" fontId="8" fillId="10" borderId="0" xfId="5" applyFont="1" applyFill="1" applyBorder="1" applyAlignment="1">
      <alignment horizontal="left"/>
    </xf>
    <xf numFmtId="41" fontId="8" fillId="5" borderId="0" xfId="1" applyNumberFormat="1" applyFont="1" applyFill="1" applyBorder="1" applyAlignment="1">
      <alignment vertical="center"/>
    </xf>
    <xf numFmtId="9" fontId="8" fillId="12" borderId="0" xfId="5" applyFont="1" applyFill="1" applyAlignment="1">
      <alignment horizontal="left"/>
    </xf>
    <xf numFmtId="9" fontId="8" fillId="13" borderId="0" xfId="5" applyFont="1" applyFill="1" applyAlignment="1">
      <alignment horizontal="left"/>
    </xf>
    <xf numFmtId="43" fontId="2" fillId="0" borderId="0" xfId="1" applyFont="1" applyBorder="1"/>
    <xf numFmtId="0" fontId="2" fillId="0" borderId="0" xfId="0" quotePrefix="1" applyFont="1" applyBorder="1"/>
    <xf numFmtId="43" fontId="0" fillId="0" borderId="0" xfId="1" applyFont="1" applyBorder="1"/>
    <xf numFmtId="43" fontId="16" fillId="0" borderId="0" xfId="1" applyFont="1" applyBorder="1"/>
    <xf numFmtId="0" fontId="16" fillId="0" borderId="0" xfId="0" applyFont="1" applyFill="1" applyBorder="1" applyAlignment="1">
      <alignment horizontal="left"/>
    </xf>
    <xf numFmtId="43" fontId="16" fillId="0" borderId="0" xfId="1" quotePrefix="1" applyFont="1" applyFill="1" applyBorder="1" applyAlignment="1">
      <alignment horizontal="left"/>
    </xf>
    <xf numFmtId="43" fontId="2" fillId="0" borderId="0" xfId="1" applyFont="1" applyFill="1" applyBorder="1"/>
    <xf numFmtId="41" fontId="0" fillId="0" borderId="0" xfId="0" applyNumberFormat="1" applyBorder="1"/>
    <xf numFmtId="0" fontId="0" fillId="0" borderId="0" xfId="0" applyBorder="1"/>
    <xf numFmtId="41" fontId="8" fillId="13" borderId="4" xfId="0" applyNumberFormat="1" applyFont="1" applyFill="1" applyBorder="1" applyAlignment="1">
      <alignment wrapText="1"/>
    </xf>
    <xf numFmtId="41" fontId="8" fillId="13" borderId="10" xfId="1" applyNumberFormat="1" applyFont="1" applyFill="1" applyBorder="1"/>
    <xf numFmtId="41" fontId="8" fillId="0" borderId="1" xfId="0" applyNumberFormat="1" applyFont="1" applyFill="1" applyBorder="1" applyAlignment="1">
      <alignment horizontal="left"/>
    </xf>
    <xf numFmtId="41" fontId="9" fillId="0" borderId="0" xfId="1" applyNumberFormat="1" applyFont="1" applyFill="1" applyBorder="1" applyAlignment="1">
      <alignment horizontal="center"/>
    </xf>
    <xf numFmtId="41" fontId="5" fillId="7" borderId="0" xfId="1" applyNumberFormat="1" applyFont="1" applyFill="1" applyAlignment="1">
      <alignment horizontal="center" vertical="center"/>
    </xf>
    <xf numFmtId="41" fontId="2" fillId="7" borderId="0" xfId="1" applyNumberFormat="1" applyFont="1" applyFill="1"/>
    <xf numFmtId="205" fontId="5" fillId="7" borderId="0" xfId="0" quotePrefix="1" applyNumberFormat="1" applyFont="1" applyFill="1" applyAlignment="1">
      <alignment horizontal="center" vertical="center" wrapText="1"/>
    </xf>
    <xf numFmtId="41" fontId="5" fillId="7" borderId="0" xfId="1" applyNumberFormat="1" applyFont="1" applyFill="1" applyAlignment="1">
      <alignment horizontal="center" wrapText="1"/>
    </xf>
    <xf numFmtId="41" fontId="5" fillId="7" borderId="0" xfId="0" applyNumberFormat="1" applyFont="1" applyFill="1" applyAlignment="1">
      <alignment horizontal="center" wrapText="1"/>
    </xf>
    <xf numFmtId="15" fontId="5" fillId="7" borderId="0" xfId="1" quotePrefix="1" applyNumberFormat="1" applyFont="1" applyFill="1" applyAlignment="1">
      <alignment horizontal="center" vertical="center"/>
    </xf>
    <xf numFmtId="41" fontId="5" fillId="7" borderId="0" xfId="1" applyNumberFormat="1" applyFont="1" applyFill="1" applyAlignment="1">
      <alignment horizontal="center"/>
    </xf>
    <xf numFmtId="41" fontId="5" fillId="7" borderId="0" xfId="0" applyNumberFormat="1" applyFont="1" applyFill="1"/>
    <xf numFmtId="41" fontId="2" fillId="7" borderId="0" xfId="0" applyNumberFormat="1" applyFont="1" applyFill="1"/>
    <xf numFmtId="41" fontId="5" fillId="7" borderId="4" xfId="0" applyNumberFormat="1" applyFont="1" applyFill="1" applyBorder="1"/>
    <xf numFmtId="41" fontId="5" fillId="7" borderId="2" xfId="1" applyNumberFormat="1" applyFont="1" applyFill="1" applyBorder="1"/>
    <xf numFmtId="41" fontId="5" fillId="7" borderId="2" xfId="0" applyNumberFormat="1" applyFont="1" applyFill="1" applyBorder="1"/>
    <xf numFmtId="41" fontId="8" fillId="7" borderId="0" xfId="0" applyNumberFormat="1" applyFont="1" applyFill="1" applyBorder="1" applyAlignment="1">
      <alignment horizontal="center"/>
    </xf>
    <xf numFmtId="188" fontId="8" fillId="7" borderId="0" xfId="1" quotePrefix="1" applyNumberFormat="1" applyFont="1" applyFill="1" applyAlignment="1">
      <alignment horizontal="center" wrapText="1"/>
    </xf>
    <xf numFmtId="0" fontId="0" fillId="7" borderId="0" xfId="0" applyFill="1"/>
    <xf numFmtId="41" fontId="8" fillId="7" borderId="0" xfId="0" applyNumberFormat="1" applyFont="1" applyFill="1" applyAlignment="1">
      <alignment horizontal="center"/>
    </xf>
    <xf numFmtId="9" fontId="8" fillId="7" borderId="0" xfId="5" applyFont="1" applyFill="1" applyAlignment="1">
      <alignment horizontal="right"/>
    </xf>
    <xf numFmtId="41" fontId="8" fillId="7" borderId="0" xfId="1" applyNumberFormat="1" applyFont="1" applyFill="1" applyAlignment="1">
      <alignment horizontal="center" wrapText="1"/>
    </xf>
    <xf numFmtId="41" fontId="8" fillId="7" borderId="0" xfId="1" applyNumberFormat="1" applyFont="1" applyFill="1" applyAlignment="1">
      <alignment horizontal="center"/>
    </xf>
    <xf numFmtId="15" fontId="8" fillId="7" borderId="1" xfId="0" quotePrefix="1" applyNumberFormat="1" applyFont="1" applyFill="1" applyBorder="1" applyAlignment="1">
      <alignment horizontal="center"/>
    </xf>
    <xf numFmtId="41" fontId="8" fillId="7" borderId="1" xfId="0" applyNumberFormat="1" applyFont="1" applyFill="1" applyBorder="1" applyAlignment="1">
      <alignment horizontal="center" wrapText="1"/>
    </xf>
    <xf numFmtId="41" fontId="8" fillId="7" borderId="1" xfId="1" quotePrefix="1" applyNumberFormat="1" applyFont="1" applyFill="1" applyBorder="1" applyAlignment="1">
      <alignment horizontal="center" wrapText="1"/>
    </xf>
    <xf numFmtId="0" fontId="0" fillId="7" borderId="1" xfId="0" applyFill="1" applyBorder="1"/>
    <xf numFmtId="41" fontId="8" fillId="7" borderId="5" xfId="1" applyNumberFormat="1" applyFont="1" applyFill="1" applyBorder="1"/>
    <xf numFmtId="168" fontId="0" fillId="0" borderId="2" xfId="1" applyNumberFormat="1" applyFont="1" applyFill="1" applyBorder="1"/>
    <xf numFmtId="168" fontId="5" fillId="0" borderId="0" xfId="1" applyNumberFormat="1" applyFont="1" applyFill="1" applyBorder="1"/>
    <xf numFmtId="168" fontId="5" fillId="7" borderId="0" xfId="1" applyNumberFormat="1" applyFont="1" applyFill="1"/>
    <xf numFmtId="0" fontId="0" fillId="0" borderId="2" xfId="0" applyBorder="1"/>
    <xf numFmtId="168" fontId="5" fillId="7" borderId="2" xfId="1" applyNumberFormat="1" applyFont="1" applyFill="1" applyBorder="1"/>
    <xf numFmtId="15" fontId="8" fillId="10" borderId="1" xfId="0" quotePrefix="1" applyNumberFormat="1" applyFont="1" applyFill="1" applyBorder="1" applyAlignment="1">
      <alignment horizontal="center"/>
    </xf>
    <xf numFmtId="0" fontId="5" fillId="10" borderId="0" xfId="0" applyFont="1" applyFill="1"/>
    <xf numFmtId="9" fontId="5" fillId="10" borderId="0" xfId="5" applyFont="1" applyFill="1" applyBorder="1"/>
    <xf numFmtId="168" fontId="5" fillId="10" borderId="4" xfId="0" applyNumberFormat="1" applyFont="1" applyFill="1" applyBorder="1"/>
    <xf numFmtId="43" fontId="16" fillId="10" borderId="0" xfId="1" applyFont="1" applyFill="1"/>
    <xf numFmtId="9" fontId="8" fillId="10" borderId="0" xfId="5" applyFont="1" applyFill="1"/>
    <xf numFmtId="44" fontId="8" fillId="10" borderId="5" xfId="3" applyFont="1" applyFill="1" applyBorder="1"/>
  </cellXfs>
  <cellStyles count="6">
    <cellStyle name="Comma" xfId="1" builtinId="3"/>
    <cellStyle name="Comma 2" xfId="2"/>
    <cellStyle name="Currency" xfId="3" builtinId="4"/>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siness%20Office/Budget%20Information/17-18%20Budget/17-18%20Budget%20Apr%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okj/AppData/Local/Microsoft/Windows/INetCache/Content.Outlook/EVCSKINR/2017-2018%20Statements/01-31-2018%20Financial%20Statements%20%20BO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siness%20Office/Budget%20Information/18-19%20Budget/18-19%20BUDGET%20Oct%20%20Revised%20Budget%20DRAF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ookj/AppData/Local/Microsoft/Windows/INetCache/Content.Outlook/EVCSKINR/19-20%20Approved%20April%201%20Budge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usiness%20Office/Budget%20Information/19-20%20Budget/19-20%20Oct%20revision%20DRAFT%208-1-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O detail"/>
      <sheetName val="JICA detail"/>
      <sheetName val="ES detail"/>
      <sheetName val="MS detail"/>
      <sheetName val="HS detail"/>
      <sheetName val="PTEC detail"/>
      <sheetName val="CMO summary"/>
      <sheetName val="JICA summary"/>
      <sheetName val="ES summary"/>
      <sheetName val="MS summary"/>
      <sheetName val="HS summary"/>
      <sheetName val="PTEC summary"/>
      <sheetName val="17-18 CMO"/>
      <sheetName val="ytd reconciliation"/>
      <sheetName val="Compatibility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Sheet"/>
      <sheetName val="ES"/>
      <sheetName val="JICA"/>
      <sheetName val="MS"/>
      <sheetName val="HS"/>
      <sheetName val="PTEC"/>
      <sheetName val="BUDGET ENTRY"/>
      <sheetName val="JICA detail"/>
      <sheetName val="ES detail"/>
      <sheetName val="MS detail"/>
      <sheetName val="HS detail"/>
      <sheetName val="PTEC detail"/>
      <sheetName val="CMO summary"/>
      <sheetName val="JICA summary"/>
      <sheetName val="ES summary"/>
      <sheetName val="MS summary"/>
      <sheetName val="HS summary"/>
      <sheetName val="PTEC summary"/>
      <sheetName val="17-18 wo cmo"/>
      <sheetName val="17-18 w cmo"/>
      <sheetName val="ytd reconciliation"/>
      <sheetName val="Compatibility Report"/>
    </sheetNames>
    <sheetDataSet>
      <sheetData sheetId="0"/>
      <sheetData sheetId="1"/>
      <sheetData sheetId="2"/>
      <sheetData sheetId="3"/>
      <sheetData sheetId="4"/>
      <sheetData sheetId="5"/>
      <sheetData sheetId="6">
        <row r="4">
          <cell r="D4">
            <v>496.68</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Sheet"/>
      <sheetName val="ES"/>
      <sheetName val="MS"/>
      <sheetName val="HS"/>
      <sheetName val="JICA"/>
      <sheetName val="PTEC"/>
      <sheetName val="JICA detail"/>
      <sheetName val="ES detail"/>
      <sheetName val="MS detail"/>
      <sheetName val="HS detail"/>
      <sheetName val="PTEC detail"/>
      <sheetName val="Combined"/>
      <sheetName val="CMO summary"/>
      <sheetName val="JICA summary"/>
      <sheetName val="ES summary"/>
      <sheetName val="MS summary"/>
      <sheetName val="HS summary"/>
      <sheetName val="PTEC summary"/>
      <sheetName val="17-18 wo cmo"/>
      <sheetName val="17-18 w cmo"/>
      <sheetName val="ytd reconciliation"/>
      <sheetName val="Compatibility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3">
          <cell r="G23">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19"/>
      <sheetName val="19-20"/>
      <sheetName val="20-21"/>
      <sheetName val="21-22"/>
      <sheetName val="22-23"/>
      <sheetName val="5 yr"/>
      <sheetName val="JICA detail"/>
      <sheetName val="ES detail"/>
      <sheetName val="MS detail"/>
      <sheetName val="HS detail"/>
      <sheetName val="PTEC detail"/>
      <sheetName val="CMO summary"/>
      <sheetName val="JICA summary"/>
      <sheetName val="ES summary"/>
      <sheetName val="MS summary"/>
      <sheetName val="HS summary"/>
      <sheetName val="PTEC summary"/>
      <sheetName val="17-18 wo cmo"/>
      <sheetName val="17-18 w cmo"/>
      <sheetName val="ytd reconciliation"/>
      <sheetName val="Compatibility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19"/>
      <sheetName val="19-20"/>
      <sheetName val="19-20 (2)"/>
      <sheetName val="19-20(3)"/>
      <sheetName val="20-21"/>
      <sheetName val="21-22"/>
      <sheetName val="22-23"/>
      <sheetName val="5 yr"/>
      <sheetName val="JICA detail"/>
      <sheetName val="ES detail"/>
      <sheetName val="MS detail"/>
      <sheetName val="HS detail"/>
      <sheetName val="PTEC detail"/>
      <sheetName val="CMO summary"/>
      <sheetName val="JICA summary"/>
      <sheetName val="ES summary"/>
      <sheetName val="MS summary"/>
      <sheetName val="HS summary"/>
      <sheetName val="PTEC summary"/>
      <sheetName val="17-18 wo cmo"/>
      <sheetName val="17-18 w cmo"/>
      <sheetName val="ytd reconciliation"/>
      <sheetName val="Compatibility Report"/>
    </sheetNames>
    <sheetDataSet>
      <sheetData sheetId="0">
        <row r="73">
          <cell r="F7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selection activeCell="I29" sqref="I29"/>
    </sheetView>
  </sheetViews>
  <sheetFormatPr defaultRowHeight="13.2" x14ac:dyDescent="0.25"/>
  <cols>
    <col min="1" max="1" width="31.88671875" customWidth="1"/>
    <col min="2" max="2" width="12.6640625" style="353" customWidth="1"/>
    <col min="3" max="3" width="12.5546875" style="353" customWidth="1"/>
    <col min="4" max="4" width="11.44140625" style="353" customWidth="1"/>
    <col min="5" max="5" width="11.6640625" style="353" customWidth="1"/>
    <col min="6" max="6" width="11.33203125" style="353" customWidth="1"/>
    <col min="7" max="7" width="13.44140625" style="353" customWidth="1"/>
    <col min="8" max="8" width="1.88671875" style="353" customWidth="1"/>
    <col min="9" max="9" width="12.33203125" style="353" customWidth="1"/>
    <col min="10" max="10" width="12.33203125" style="460" customWidth="1"/>
    <col min="11" max="11" width="15" style="373" customWidth="1"/>
    <col min="13" max="13" width="19.33203125" customWidth="1"/>
    <col min="14" max="14" width="23.5546875" customWidth="1"/>
  </cols>
  <sheetData>
    <row r="1" spans="1:11" x14ac:dyDescent="0.25">
      <c r="A1" s="583" t="s">
        <v>634</v>
      </c>
      <c r="B1" s="584"/>
      <c r="C1" s="584"/>
      <c r="D1" s="584"/>
      <c r="E1" s="584"/>
      <c r="F1" s="584"/>
      <c r="G1" s="584"/>
      <c r="I1" s="584"/>
      <c r="J1" s="402"/>
    </row>
    <row r="2" spans="1:11" x14ac:dyDescent="0.25">
      <c r="A2" s="585" t="s">
        <v>635</v>
      </c>
      <c r="B2" s="586" t="s">
        <v>504</v>
      </c>
      <c r="C2" s="587" t="s">
        <v>505</v>
      </c>
      <c r="D2" s="587" t="s">
        <v>506</v>
      </c>
      <c r="E2" s="587" t="s">
        <v>507</v>
      </c>
      <c r="F2" s="586" t="s">
        <v>305</v>
      </c>
      <c r="G2" s="586" t="s">
        <v>107</v>
      </c>
      <c r="H2" s="482"/>
      <c r="I2" s="586" t="s">
        <v>650</v>
      </c>
      <c r="J2" s="523"/>
    </row>
    <row r="3" spans="1:11" x14ac:dyDescent="0.25">
      <c r="A3" s="588" t="s">
        <v>745</v>
      </c>
      <c r="B3" s="584"/>
      <c r="C3" s="584"/>
      <c r="D3" s="584"/>
      <c r="E3" s="584"/>
      <c r="F3" s="584"/>
      <c r="G3" s="589" t="s">
        <v>653</v>
      </c>
      <c r="H3" s="347"/>
      <c r="I3" s="589" t="s">
        <v>651</v>
      </c>
      <c r="J3" s="524"/>
    </row>
    <row r="4" spans="1:11" s="195" customFormat="1" x14ac:dyDescent="0.25">
      <c r="A4" s="472"/>
      <c r="B4" s="402"/>
      <c r="C4" s="402"/>
      <c r="D4" s="402"/>
      <c r="E4" s="402"/>
      <c r="F4" s="402"/>
      <c r="G4" s="402"/>
      <c r="H4" s="352"/>
      <c r="I4" s="402"/>
      <c r="J4" s="402"/>
      <c r="K4" s="401"/>
    </row>
    <row r="5" spans="1:11" x14ac:dyDescent="0.25">
      <c r="A5" s="590" t="s">
        <v>508</v>
      </c>
      <c r="B5" s="584"/>
      <c r="C5" s="591" t="s">
        <v>509</v>
      </c>
      <c r="D5" s="591"/>
      <c r="E5" s="591"/>
      <c r="F5" s="584"/>
      <c r="G5" s="584"/>
      <c r="H5" s="347"/>
      <c r="I5" s="584"/>
      <c r="J5" s="402"/>
    </row>
    <row r="6" spans="1:11" x14ac:dyDescent="0.25">
      <c r="A6" s="347" t="s">
        <v>532</v>
      </c>
      <c r="B6" s="348">
        <f>272080.81-1</f>
        <v>272079.81</v>
      </c>
      <c r="C6" s="348">
        <v>70081.06</v>
      </c>
      <c r="D6" s="347">
        <f>22326.03-23294.33+171394.38</f>
        <v>170426.08000000002</v>
      </c>
      <c r="E6" s="347">
        <f>159074.14-118098.24+111494.06+1</f>
        <v>152470.96000000002</v>
      </c>
      <c r="F6" s="348"/>
      <c r="G6" s="347">
        <f t="shared" ref="G6:G15" si="0">SUM(B6:F6)</f>
        <v>665057.91</v>
      </c>
      <c r="H6" s="347"/>
      <c r="I6" s="348" t="s">
        <v>15</v>
      </c>
      <c r="J6" s="402"/>
    </row>
    <row r="7" spans="1:11" x14ac:dyDescent="0.25">
      <c r="A7" s="347" t="s">
        <v>531</v>
      </c>
      <c r="B7" s="348">
        <v>50416.42</v>
      </c>
      <c r="C7" s="348">
        <f>-60847.88+149571</f>
        <v>88723.12</v>
      </c>
      <c r="D7" s="347">
        <f>490351.32-108405.28-123863</f>
        <v>258083.04000000004</v>
      </c>
      <c r="E7" s="347">
        <f>620596.32-317235.07-74488.36</f>
        <v>228872.88999999996</v>
      </c>
      <c r="F7" s="348">
        <v>164177.96</v>
      </c>
      <c r="G7" s="347">
        <f t="shared" si="0"/>
        <v>790273.42999999993</v>
      </c>
      <c r="H7" s="347"/>
      <c r="I7" s="348">
        <v>-1322</v>
      </c>
      <c r="J7" s="402"/>
    </row>
    <row r="8" spans="1:11" x14ac:dyDescent="0.25">
      <c r="A8" s="347" t="s">
        <v>510</v>
      </c>
      <c r="B8" s="348">
        <v>508867.84000000003</v>
      </c>
      <c r="C8" s="348">
        <v>1036923.11</v>
      </c>
      <c r="D8" s="348">
        <v>1036921.67</v>
      </c>
      <c r="E8" s="348">
        <v>1036921.67</v>
      </c>
      <c r="F8" s="348"/>
      <c r="G8" s="347">
        <f t="shared" si="0"/>
        <v>3619634.29</v>
      </c>
      <c r="H8" s="483"/>
      <c r="I8" s="348">
        <v>5376538.5999999996</v>
      </c>
      <c r="J8" s="402"/>
    </row>
    <row r="9" spans="1:11" x14ac:dyDescent="0.25">
      <c r="A9" s="347" t="s">
        <v>511</v>
      </c>
      <c r="B9" s="348"/>
      <c r="C9" s="348">
        <v>12235.19</v>
      </c>
      <c r="D9" s="347">
        <v>8053.4</v>
      </c>
      <c r="E9" s="347">
        <v>2268.34</v>
      </c>
      <c r="F9" s="348">
        <v>9923.93</v>
      </c>
      <c r="G9" s="347">
        <f t="shared" si="0"/>
        <v>32480.86</v>
      </c>
      <c r="H9" s="483"/>
      <c r="I9" s="348"/>
      <c r="J9" s="402"/>
    </row>
    <row r="10" spans="1:11" x14ac:dyDescent="0.25">
      <c r="A10" s="347" t="s">
        <v>512</v>
      </c>
      <c r="B10" s="348">
        <v>111</v>
      </c>
      <c r="C10" s="348">
        <v>3189.5</v>
      </c>
      <c r="D10" s="347">
        <f>11733.59+6518+470</f>
        <v>18721.59</v>
      </c>
      <c r="E10" s="347">
        <f>14034.67+9744+95</f>
        <v>23873.67</v>
      </c>
      <c r="F10" s="348">
        <v>40221.9</v>
      </c>
      <c r="G10" s="347">
        <f t="shared" si="0"/>
        <v>86117.66</v>
      </c>
      <c r="H10" s="483"/>
      <c r="I10" s="348" t="s">
        <v>15</v>
      </c>
      <c r="J10" s="402"/>
    </row>
    <row r="11" spans="1:11" x14ac:dyDescent="0.25">
      <c r="A11" s="347" t="s">
        <v>513</v>
      </c>
      <c r="B11" s="348"/>
      <c r="C11" s="348">
        <v>50149.64</v>
      </c>
      <c r="D11" s="347">
        <v>50149.64</v>
      </c>
      <c r="E11" s="347">
        <v>50149.64</v>
      </c>
      <c r="F11" s="348"/>
      <c r="G11" s="347">
        <f t="shared" si="0"/>
        <v>150448.91999999998</v>
      </c>
      <c r="H11" s="483"/>
      <c r="I11" s="348"/>
      <c r="J11" s="402"/>
    </row>
    <row r="12" spans="1:11" x14ac:dyDescent="0.25">
      <c r="A12" s="347" t="s">
        <v>672</v>
      </c>
      <c r="B12" s="348"/>
      <c r="C12" s="348">
        <v>1004826.76</v>
      </c>
      <c r="D12" s="347">
        <f>592536.8-846.3</f>
        <v>591690.5</v>
      </c>
      <c r="E12" s="347">
        <v>616596.86</v>
      </c>
      <c r="F12" s="348"/>
      <c r="G12" s="347">
        <f t="shared" si="0"/>
        <v>2213114.12</v>
      </c>
      <c r="H12" s="483"/>
      <c r="I12" s="348"/>
      <c r="J12"/>
      <c r="K12"/>
    </row>
    <row r="13" spans="1:11" x14ac:dyDescent="0.25">
      <c r="A13" s="347" t="s">
        <v>741</v>
      </c>
      <c r="B13" s="348">
        <v>561519.1</v>
      </c>
      <c r="C13" s="348">
        <v>1201087.49</v>
      </c>
      <c r="D13" s="347">
        <f>538987.85-1035.24</f>
        <v>537952.61</v>
      </c>
      <c r="E13" s="347">
        <f>-12294.27-12657.93-1662.52</f>
        <v>-26614.720000000001</v>
      </c>
      <c r="F13" s="348">
        <v>386867.18</v>
      </c>
      <c r="G13" s="347">
        <f t="shared" si="0"/>
        <v>2660811.6599999997</v>
      </c>
      <c r="H13" s="483"/>
      <c r="I13" s="348">
        <v>-291957.2</v>
      </c>
      <c r="J13"/>
      <c r="K13"/>
    </row>
    <row r="14" spans="1:11" x14ac:dyDescent="0.25">
      <c r="A14" s="347" t="s">
        <v>750</v>
      </c>
      <c r="B14" s="348"/>
      <c r="C14" s="348"/>
      <c r="D14" s="347"/>
      <c r="E14" s="347">
        <v>6188.45</v>
      </c>
      <c r="F14" s="348"/>
      <c r="G14" s="347">
        <f t="shared" si="0"/>
        <v>6188.45</v>
      </c>
      <c r="H14" s="483"/>
      <c r="I14" s="348"/>
      <c r="J14"/>
      <c r="K14"/>
    </row>
    <row r="15" spans="1:11" x14ac:dyDescent="0.25">
      <c r="A15" s="347" t="s">
        <v>514</v>
      </c>
      <c r="B15" s="347">
        <v>100</v>
      </c>
      <c r="C15" s="350"/>
      <c r="D15" s="350">
        <v>-0.8</v>
      </c>
      <c r="E15" s="350"/>
      <c r="F15" s="347">
        <f>172717.68-172957.96</f>
        <v>-240.27999999999884</v>
      </c>
      <c r="G15" s="347">
        <f t="shared" si="0"/>
        <v>-141.07999999999885</v>
      </c>
      <c r="H15" s="483"/>
      <c r="I15" s="347">
        <v>0</v>
      </c>
      <c r="J15"/>
      <c r="K15"/>
    </row>
    <row r="16" spans="1:11" s="403" customFormat="1" ht="13.8" thickBot="1" x14ac:dyDescent="0.3">
      <c r="A16" s="590" t="s">
        <v>515</v>
      </c>
      <c r="B16" s="592">
        <f>SUM(B6:B15)</f>
        <v>1393094.17</v>
      </c>
      <c r="C16" s="592">
        <f>SUM(C6:C15)</f>
        <v>3467215.87</v>
      </c>
      <c r="D16" s="592">
        <f>SUM(D6:D15)</f>
        <v>2671997.73</v>
      </c>
      <c r="E16" s="592">
        <f>SUM(E6:E15)</f>
        <v>2090727.7599999998</v>
      </c>
      <c r="F16" s="592">
        <f>SUM(F6:F15)</f>
        <v>600950.68999999994</v>
      </c>
      <c r="G16" s="592">
        <f>SUM(G6:G15)-0.5</f>
        <v>10223985.719999999</v>
      </c>
      <c r="H16" s="484"/>
      <c r="I16" s="592">
        <f>SUM(I6:I15)</f>
        <v>5083259.3999999994</v>
      </c>
    </row>
    <row r="17" spans="1:11" s="195" customFormat="1" ht="13.8" thickTop="1" x14ac:dyDescent="0.25">
      <c r="A17" s="352" t="s">
        <v>509</v>
      </c>
      <c r="B17" s="402"/>
      <c r="C17" s="352"/>
      <c r="D17" s="352"/>
      <c r="E17" s="352"/>
      <c r="F17" s="402"/>
      <c r="G17" s="352"/>
      <c r="H17" s="483"/>
      <c r="I17" s="402"/>
    </row>
    <row r="18" spans="1:11" x14ac:dyDescent="0.25">
      <c r="A18" s="590" t="s">
        <v>516</v>
      </c>
      <c r="B18" s="584"/>
      <c r="C18" s="591"/>
      <c r="D18" s="591"/>
      <c r="E18" s="591"/>
      <c r="F18" s="584"/>
      <c r="G18" s="584"/>
      <c r="H18" s="347"/>
      <c r="I18" s="584"/>
      <c r="J18"/>
      <c r="K18"/>
    </row>
    <row r="19" spans="1:11" x14ac:dyDescent="0.25">
      <c r="A19" s="347" t="s">
        <v>517</v>
      </c>
      <c r="B19" s="348"/>
      <c r="C19" s="347"/>
      <c r="D19" s="347"/>
      <c r="E19" s="347">
        <v>0</v>
      </c>
      <c r="F19" s="348">
        <f>535.59-535.59</f>
        <v>0</v>
      </c>
      <c r="G19" s="347">
        <f>SUM(B19:F19)</f>
        <v>0</v>
      </c>
      <c r="H19" s="347"/>
      <c r="I19" s="348" t="s">
        <v>15</v>
      </c>
      <c r="J19"/>
      <c r="K19"/>
    </row>
    <row r="20" spans="1:11" x14ac:dyDescent="0.25">
      <c r="A20" s="347" t="s">
        <v>518</v>
      </c>
      <c r="B20" s="348"/>
      <c r="C20" s="348">
        <v>0</v>
      </c>
      <c r="D20" s="347"/>
      <c r="E20" s="347"/>
      <c r="F20" s="348"/>
      <c r="G20" s="347">
        <f>SUM(B20:F20)</f>
        <v>0</v>
      </c>
      <c r="H20" s="485"/>
      <c r="I20" s="348"/>
      <c r="J20"/>
      <c r="K20"/>
    </row>
    <row r="21" spans="1:11" x14ac:dyDescent="0.25">
      <c r="A21" s="347" t="s">
        <v>519</v>
      </c>
      <c r="B21" s="348">
        <v>5298</v>
      </c>
      <c r="C21" s="348">
        <v>8378.93</v>
      </c>
      <c r="D21" s="347">
        <v>8378.93</v>
      </c>
      <c r="E21" s="347">
        <v>8378.9500000000007</v>
      </c>
      <c r="F21" s="348">
        <v>48864</v>
      </c>
      <c r="G21" s="347">
        <f>SUM(B21:F21)</f>
        <v>79298.81</v>
      </c>
      <c r="H21" s="486"/>
      <c r="I21" s="348"/>
      <c r="J21"/>
      <c r="K21"/>
    </row>
    <row r="22" spans="1:11" x14ac:dyDescent="0.25">
      <c r="A22" s="347" t="s">
        <v>520</v>
      </c>
      <c r="B22" s="348">
        <v>76342.42</v>
      </c>
      <c r="C22" s="348">
        <v>123818</v>
      </c>
      <c r="D22" s="347">
        <v>105705.05</v>
      </c>
      <c r="E22" s="347">
        <v>83744.37</v>
      </c>
      <c r="F22" s="348">
        <v>59629.75</v>
      </c>
      <c r="G22" s="347">
        <f>SUM(B22:F22)</f>
        <v>449239.58999999997</v>
      </c>
      <c r="H22" s="486"/>
      <c r="I22" s="348" t="s">
        <v>15</v>
      </c>
      <c r="J22"/>
    </row>
    <row r="23" spans="1:11" x14ac:dyDescent="0.25">
      <c r="A23" s="347" t="s">
        <v>521</v>
      </c>
      <c r="B23" s="351"/>
      <c r="C23" s="350">
        <v>158282.43</v>
      </c>
      <c r="D23" s="350">
        <v>99732.1</v>
      </c>
      <c r="E23" s="350">
        <f>5888.4+112310.04</f>
        <v>118198.43999999999</v>
      </c>
      <c r="F23" s="351">
        <v>2000</v>
      </c>
      <c r="G23" s="350">
        <f>SUM(B23:F23)</f>
        <v>378212.97</v>
      </c>
      <c r="H23" s="486"/>
      <c r="I23" s="351">
        <v>0</v>
      </c>
      <c r="J23"/>
      <c r="K23" s="172" t="s">
        <v>751</v>
      </c>
    </row>
    <row r="24" spans="1:11" s="172" customFormat="1" x14ac:dyDescent="0.25">
      <c r="A24" s="590" t="s">
        <v>522</v>
      </c>
      <c r="B24" s="590">
        <f t="shared" ref="B24:G24" si="1">SUM(B19:B23)</f>
        <v>81640.42</v>
      </c>
      <c r="C24" s="590">
        <f t="shared" si="1"/>
        <v>290479.35999999999</v>
      </c>
      <c r="D24" s="590">
        <f t="shared" si="1"/>
        <v>213816.08000000002</v>
      </c>
      <c r="E24" s="590">
        <f>+E19+E20+E21+E22+E23</f>
        <v>210321.75999999998</v>
      </c>
      <c r="F24" s="590">
        <f>SUM(F19:F23)</f>
        <v>110493.75</v>
      </c>
      <c r="G24" s="590">
        <f t="shared" si="1"/>
        <v>906751.36999999988</v>
      </c>
      <c r="H24" s="486"/>
      <c r="I24" s="590">
        <f>SUM(I23)</f>
        <v>0</v>
      </c>
    </row>
    <row r="25" spans="1:11" x14ac:dyDescent="0.25">
      <c r="A25" s="347"/>
      <c r="B25" s="348"/>
      <c r="C25" s="347"/>
      <c r="D25" s="347"/>
      <c r="E25" s="347"/>
      <c r="F25" s="348"/>
      <c r="G25" s="347"/>
      <c r="H25" s="486"/>
      <c r="I25" s="348"/>
      <c r="J25"/>
      <c r="K25"/>
    </row>
    <row r="26" spans="1:11" x14ac:dyDescent="0.25">
      <c r="A26" s="590" t="s">
        <v>523</v>
      </c>
      <c r="B26" s="584"/>
      <c r="C26" s="591"/>
      <c r="D26" s="591"/>
      <c r="E26" s="591"/>
      <c r="F26" s="584"/>
      <c r="G26" s="584"/>
      <c r="H26" s="486"/>
      <c r="I26" s="584"/>
      <c r="J26"/>
      <c r="K26"/>
    </row>
    <row r="27" spans="1:11" x14ac:dyDescent="0.25">
      <c r="A27" s="347" t="s">
        <v>524</v>
      </c>
      <c r="B27" s="348"/>
      <c r="C27" s="347"/>
      <c r="D27" s="347"/>
      <c r="E27" s="352" t="s">
        <v>15</v>
      </c>
      <c r="F27" s="348"/>
      <c r="G27" s="347"/>
      <c r="H27" s="347"/>
      <c r="I27" s="348"/>
      <c r="J27"/>
      <c r="K27"/>
    </row>
    <row r="28" spans="1:11" x14ac:dyDescent="0.25">
      <c r="A28" s="347" t="s">
        <v>525</v>
      </c>
      <c r="B28" s="487">
        <f>750788+356771</f>
        <v>1107559</v>
      </c>
      <c r="C28" s="487">
        <f>2328663+457610</f>
        <v>2786273</v>
      </c>
      <c r="D28" s="487">
        <f>1718784+408882</f>
        <v>2127666</v>
      </c>
      <c r="E28" s="487">
        <f>1425516+176685</f>
        <v>1602201</v>
      </c>
      <c r="F28" s="487">
        <f>217111+177265</f>
        <v>394376</v>
      </c>
      <c r="G28" s="347">
        <f>SUM(B28:F28)</f>
        <v>8018075</v>
      </c>
      <c r="H28" s="347"/>
      <c r="I28" s="348">
        <f>5355344-191000</f>
        <v>5164344</v>
      </c>
      <c r="J28"/>
      <c r="K28"/>
    </row>
    <row r="29" spans="1:11" x14ac:dyDescent="0.25">
      <c r="A29" s="347" t="s">
        <v>652</v>
      </c>
      <c r="B29" s="487">
        <v>82000</v>
      </c>
      <c r="C29" s="487">
        <v>125000</v>
      </c>
      <c r="D29" s="487">
        <v>122000</v>
      </c>
      <c r="E29" s="487">
        <v>113000</v>
      </c>
      <c r="F29" s="487">
        <v>67000</v>
      </c>
      <c r="G29" s="347">
        <f>SUM(B29:F29)</f>
        <v>509000</v>
      </c>
      <c r="H29" s="347"/>
      <c r="I29" s="348">
        <v>191000</v>
      </c>
      <c r="J29"/>
      <c r="K29"/>
    </row>
    <row r="30" spans="1:11" x14ac:dyDescent="0.25">
      <c r="A30" s="347" t="s">
        <v>743</v>
      </c>
      <c r="B30" s="487">
        <v>3415</v>
      </c>
      <c r="C30" s="487">
        <v>3416</v>
      </c>
      <c r="D30" s="487">
        <v>10903</v>
      </c>
      <c r="E30" s="487">
        <v>4719</v>
      </c>
      <c r="F30" s="487"/>
      <c r="G30" s="347">
        <f>SUM(B30:F30)</f>
        <v>22453</v>
      </c>
      <c r="H30" s="347"/>
      <c r="I30" s="487"/>
      <c r="J30"/>
      <c r="K30"/>
    </row>
    <row r="31" spans="1:11" x14ac:dyDescent="0.25">
      <c r="A31" s="347" t="s">
        <v>526</v>
      </c>
      <c r="B31" s="488"/>
      <c r="C31" s="488"/>
      <c r="D31" s="488">
        <v>35448</v>
      </c>
      <c r="E31" s="488">
        <v>30748</v>
      </c>
      <c r="F31" s="488"/>
      <c r="G31" s="350">
        <f>SUM(B31:F31)</f>
        <v>66196</v>
      </c>
      <c r="H31" s="347"/>
      <c r="I31" s="488"/>
      <c r="J31"/>
      <c r="K31"/>
    </row>
    <row r="32" spans="1:11" x14ac:dyDescent="0.25">
      <c r="A32" s="348" t="s">
        <v>527</v>
      </c>
      <c r="B32" s="348">
        <f t="shared" ref="B32:G32" si="2">SUM(B28:B31)</f>
        <v>1192974</v>
      </c>
      <c r="C32" s="348">
        <f t="shared" si="2"/>
        <v>2914689</v>
      </c>
      <c r="D32" s="348">
        <f t="shared" si="2"/>
        <v>2296017</v>
      </c>
      <c r="E32" s="348">
        <f t="shared" si="2"/>
        <v>1750668</v>
      </c>
      <c r="F32" s="348">
        <f t="shared" si="2"/>
        <v>461376</v>
      </c>
      <c r="G32" s="348">
        <f t="shared" si="2"/>
        <v>8615724</v>
      </c>
      <c r="H32" s="347" t="s">
        <v>15</v>
      </c>
      <c r="I32" s="348">
        <f>SUM(I28:I31)</f>
        <v>5355344</v>
      </c>
      <c r="J32"/>
      <c r="K32"/>
    </row>
    <row r="33" spans="1:14" x14ac:dyDescent="0.25">
      <c r="A33" s="347"/>
      <c r="B33" s="348"/>
      <c r="C33" s="347" t="s">
        <v>15</v>
      </c>
      <c r="D33" s="347"/>
      <c r="E33" s="347"/>
      <c r="F33" s="348"/>
      <c r="G33" s="347"/>
      <c r="H33" s="347"/>
      <c r="I33" s="348"/>
      <c r="J33"/>
      <c r="K33"/>
    </row>
    <row r="34" spans="1:14" x14ac:dyDescent="0.25">
      <c r="A34" s="590" t="s">
        <v>528</v>
      </c>
      <c r="B34" s="593">
        <f>JICA!N140</f>
        <v>118479.49000000005</v>
      </c>
      <c r="C34" s="594">
        <f>ES!N133</f>
        <v>262047.49999999988</v>
      </c>
      <c r="D34" s="594">
        <f>MS!N140</f>
        <v>162165.08000000007</v>
      </c>
      <c r="E34" s="594">
        <f>+HS!N140</f>
        <v>129737.88</v>
      </c>
      <c r="F34" s="593">
        <f>PTEC!N127</f>
        <v>29081.350000000093</v>
      </c>
      <c r="G34" s="593">
        <f>SUM(B34:F34)</f>
        <v>701511.30000000016</v>
      </c>
      <c r="H34" s="347"/>
      <c r="I34" s="593">
        <f>'Bond Fund'!O19</f>
        <v>-272084.45</v>
      </c>
      <c r="J34"/>
      <c r="K34"/>
    </row>
    <row r="35" spans="1:14" x14ac:dyDescent="0.25">
      <c r="A35" s="347"/>
      <c r="B35" s="348"/>
      <c r="C35" s="347"/>
      <c r="D35" s="347"/>
      <c r="E35" s="347"/>
      <c r="F35" s="348"/>
      <c r="G35" s="347"/>
      <c r="H35" s="486"/>
      <c r="I35" s="348"/>
      <c r="J35"/>
      <c r="K35"/>
    </row>
    <row r="36" spans="1:14" x14ac:dyDescent="0.25">
      <c r="A36" s="347" t="s">
        <v>529</v>
      </c>
      <c r="B36" s="351">
        <f>SUM(B32:B34)</f>
        <v>1311453.49</v>
      </c>
      <c r="C36" s="350">
        <f>SUM(C32:C34)</f>
        <v>3176736.5</v>
      </c>
      <c r="D36" s="350">
        <f>SUM(D32:D34)</f>
        <v>2458182.08</v>
      </c>
      <c r="E36" s="350">
        <f>SUM(E32:E34)</f>
        <v>1880405.88</v>
      </c>
      <c r="F36" s="351">
        <f>SUM(F32:F34)</f>
        <v>490457.35000000009</v>
      </c>
      <c r="G36" s="350">
        <f>SUM(B36:F36)</f>
        <v>9317235.2999999989</v>
      </c>
      <c r="H36" s="486"/>
      <c r="I36" s="351">
        <f>+I34+I32</f>
        <v>5083259.55</v>
      </c>
      <c r="J36"/>
      <c r="K36"/>
    </row>
    <row r="37" spans="1:14" s="403" customFormat="1" ht="13.8" thickBot="1" x14ac:dyDescent="0.3">
      <c r="A37" s="590" t="s">
        <v>530</v>
      </c>
      <c r="B37" s="592">
        <f>B36+B24</f>
        <v>1393093.91</v>
      </c>
      <c r="C37" s="592">
        <f>C36+C24</f>
        <v>3467215.86</v>
      </c>
      <c r="D37" s="592">
        <f>D36+D24</f>
        <v>2671998.16</v>
      </c>
      <c r="E37" s="592">
        <f>E36+E24</f>
        <v>2090727.64</v>
      </c>
      <c r="F37" s="592">
        <f>F36+F24</f>
        <v>600951.10000000009</v>
      </c>
      <c r="G37" s="592">
        <f>+G36+G24</f>
        <v>10223986.669999998</v>
      </c>
      <c r="H37" s="489"/>
      <c r="I37" s="592">
        <f>+I34+I32</f>
        <v>5083259.55</v>
      </c>
    </row>
    <row r="38" spans="1:14" ht="14.4" thickTop="1" thickBot="1" x14ac:dyDescent="0.3">
      <c r="A38" s="172" t="s">
        <v>15</v>
      </c>
      <c r="J38"/>
      <c r="K38"/>
      <c r="M38" s="373"/>
    </row>
    <row r="39" spans="1:14" ht="13.8" thickBot="1" x14ac:dyDescent="0.3">
      <c r="B39" s="353">
        <f>+B16-B37</f>
        <v>0.26000000000931323</v>
      </c>
      <c r="C39" s="534">
        <f>+C16-C37</f>
        <v>1.0000000242143869E-2</v>
      </c>
      <c r="D39" s="353">
        <f>+D16-D37</f>
        <v>-0.43000000016763806</v>
      </c>
      <c r="E39" s="527">
        <f>+E16-E37</f>
        <v>0.11999999987892807</v>
      </c>
      <c r="F39" s="353">
        <f>+F16-F37</f>
        <v>-0.41000000014901161</v>
      </c>
      <c r="G39" s="534">
        <f>SUM(B39:F39)</f>
        <v>-0.45000000018626451</v>
      </c>
      <c r="I39" s="353">
        <f>+I16-I36</f>
        <v>-0.15000000037252903</v>
      </c>
      <c r="J39"/>
      <c r="K39"/>
      <c r="M39" s="373"/>
    </row>
    <row r="40" spans="1:14" x14ac:dyDescent="0.25">
      <c r="E40" s="347"/>
      <c r="J40"/>
      <c r="K40"/>
      <c r="M40" s="373"/>
    </row>
    <row r="41" spans="1:14" x14ac:dyDescent="0.25">
      <c r="J41"/>
      <c r="K41"/>
      <c r="M41" s="373"/>
      <c r="N41" s="373"/>
    </row>
    <row r="42" spans="1:14" x14ac:dyDescent="0.25">
      <c r="A42" s="539" t="s">
        <v>753</v>
      </c>
      <c r="B42" s="348"/>
      <c r="C42" s="487"/>
      <c r="D42" s="487"/>
      <c r="E42" s="487"/>
      <c r="F42" s="487"/>
      <c r="G42" s="487"/>
      <c r="M42" s="373"/>
      <c r="N42" s="373"/>
    </row>
    <row r="43" spans="1:14" x14ac:dyDescent="0.25">
      <c r="A43" s="540" t="s">
        <v>754</v>
      </c>
      <c r="B43" s="541"/>
      <c r="C43" s="541">
        <v>849908.43</v>
      </c>
      <c r="D43" s="348"/>
      <c r="E43" s="487"/>
      <c r="F43" s="487"/>
      <c r="G43" s="487"/>
      <c r="M43" s="373"/>
      <c r="N43" s="373"/>
    </row>
    <row r="44" spans="1:14" x14ac:dyDescent="0.25">
      <c r="A44" s="540" t="s">
        <v>755</v>
      </c>
      <c r="B44" s="541"/>
      <c r="C44" s="542">
        <v>587861.41</v>
      </c>
      <c r="D44" s="487"/>
      <c r="E44" s="487"/>
      <c r="F44" s="487"/>
      <c r="G44" s="487"/>
      <c r="M44" s="373"/>
      <c r="N44" s="373"/>
    </row>
    <row r="45" spans="1:14" x14ac:dyDescent="0.25">
      <c r="A45" s="540" t="s">
        <v>756</v>
      </c>
      <c r="B45" s="535"/>
      <c r="C45" s="545">
        <f>+C43-C44</f>
        <v>262047.02000000002</v>
      </c>
      <c r="M45" s="373"/>
      <c r="N45" s="373"/>
    </row>
    <row r="46" spans="1:14" x14ac:dyDescent="0.25">
      <c r="M46" s="373"/>
      <c r="N46" s="373"/>
    </row>
    <row r="47" spans="1:14" x14ac:dyDescent="0.25">
      <c r="M47" s="373"/>
      <c r="N47" s="373"/>
    </row>
    <row r="48" spans="1:14" x14ac:dyDescent="0.25">
      <c r="A48" s="536" t="s">
        <v>758</v>
      </c>
      <c r="B48" s="537"/>
      <c r="C48" s="537">
        <v>3027165.34</v>
      </c>
      <c r="D48" s="347" t="s">
        <v>759</v>
      </c>
      <c r="M48" s="373"/>
    </row>
    <row r="49" spans="1:13" x14ac:dyDescent="0.25">
      <c r="A49" s="538"/>
      <c r="B49" s="537"/>
      <c r="C49" s="543">
        <f>+C36-C48</f>
        <v>149571.16000000015</v>
      </c>
      <c r="M49" s="373"/>
    </row>
    <row r="51" spans="1:13" x14ac:dyDescent="0.25">
      <c r="A51" s="544" t="s">
        <v>760</v>
      </c>
      <c r="B51" s="535"/>
      <c r="C51" s="545">
        <v>112475</v>
      </c>
    </row>
  </sheetData>
  <pageMargins left="0.7" right="0.7" top="0.75" bottom="0.75" header="0.3" footer="0.3"/>
  <pageSetup orientation="landscape" r:id="rId1"/>
  <headerFooter>
    <oddFooter>&amp;L&amp;D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workbookViewId="0">
      <selection activeCell="Q11" sqref="Q11"/>
    </sheetView>
  </sheetViews>
  <sheetFormatPr defaultRowHeight="14.4" x14ac:dyDescent="0.3"/>
  <cols>
    <col min="1" max="1" width="27.6640625" style="57" customWidth="1"/>
    <col min="2" max="2" width="13.6640625" hidden="1" customWidth="1"/>
    <col min="3" max="3" width="0.44140625" customWidth="1"/>
    <col min="4" max="10" width="13.6640625" hidden="1" customWidth="1"/>
    <col min="11" max="11" width="13.33203125" customWidth="1"/>
    <col min="12" max="12" width="8.33203125" style="330" customWidth="1"/>
    <col min="13" max="13" width="12.33203125" customWidth="1"/>
    <col min="14" max="14" width="13.6640625" customWidth="1"/>
    <col min="15" max="15" width="16.33203125" style="195" customWidth="1"/>
  </cols>
  <sheetData>
    <row r="1" spans="1:15" s="195" customFormat="1" x14ac:dyDescent="0.3">
      <c r="A1" s="269" t="s">
        <v>15</v>
      </c>
      <c r="B1" s="269"/>
      <c r="C1" s="269"/>
      <c r="D1" s="269"/>
      <c r="E1" s="269"/>
      <c r="F1" s="269"/>
      <c r="G1" s="269"/>
      <c r="H1" s="269"/>
      <c r="I1" s="269"/>
      <c r="J1" s="269"/>
      <c r="K1" s="269"/>
      <c r="L1" s="398"/>
      <c r="M1" s="60" t="s">
        <v>15</v>
      </c>
      <c r="N1" s="60" t="s">
        <v>15</v>
      </c>
    </row>
    <row r="2" spans="1:15" x14ac:dyDescent="0.3">
      <c r="A2" s="242"/>
      <c r="B2" s="242"/>
      <c r="C2" s="242"/>
      <c r="D2" s="242"/>
      <c r="E2" s="242"/>
      <c r="F2" s="242"/>
      <c r="G2" s="242"/>
      <c r="H2" s="242"/>
      <c r="I2" s="242"/>
      <c r="J2" s="242"/>
      <c r="K2" s="242"/>
      <c r="L2" s="304"/>
      <c r="M2" s="300" t="s">
        <v>15</v>
      </c>
      <c r="N2" s="300" t="s">
        <v>15</v>
      </c>
    </row>
    <row r="3" spans="1:15" x14ac:dyDescent="0.3">
      <c r="A3" s="302" t="s">
        <v>495</v>
      </c>
      <c r="B3" s="271"/>
      <c r="C3" s="271"/>
      <c r="D3" s="271"/>
      <c r="E3" s="271"/>
      <c r="F3" s="271"/>
      <c r="G3" s="271"/>
      <c r="H3" s="271"/>
      <c r="I3" s="271"/>
      <c r="J3" s="271"/>
      <c r="K3" s="271"/>
      <c r="L3" s="385" t="s">
        <v>18</v>
      </c>
      <c r="M3" s="301">
        <v>8040</v>
      </c>
      <c r="N3" s="301"/>
    </row>
    <row r="4" spans="1:15" x14ac:dyDescent="0.3">
      <c r="A4" s="302" t="s">
        <v>188</v>
      </c>
      <c r="B4" s="302"/>
      <c r="C4" s="302"/>
      <c r="D4" s="302"/>
      <c r="E4" s="302"/>
      <c r="F4" s="302"/>
      <c r="G4" s="302"/>
      <c r="H4" s="302"/>
      <c r="I4" s="302"/>
      <c r="J4" s="302"/>
      <c r="K4" s="302" t="s">
        <v>15</v>
      </c>
      <c r="L4" s="305" t="s">
        <v>458</v>
      </c>
      <c r="M4" s="301">
        <v>307</v>
      </c>
      <c r="N4" s="301"/>
    </row>
    <row r="5" spans="1:15" ht="28.95" customHeight="1" thickBot="1" x14ac:dyDescent="0.35">
      <c r="A5" s="357" t="str">
        <f>JICA!A4</f>
        <v>April 1, 2019</v>
      </c>
      <c r="B5" s="241" t="s">
        <v>549</v>
      </c>
      <c r="C5" s="302" t="s">
        <v>548</v>
      </c>
      <c r="D5" s="302" t="s">
        <v>550</v>
      </c>
      <c r="E5" s="302" t="s">
        <v>551</v>
      </c>
      <c r="F5" s="302" t="s">
        <v>553</v>
      </c>
      <c r="G5" s="302" t="s">
        <v>554</v>
      </c>
      <c r="H5" s="302" t="s">
        <v>561</v>
      </c>
      <c r="I5" s="302" t="s">
        <v>556</v>
      </c>
      <c r="J5" s="302" t="s">
        <v>557</v>
      </c>
      <c r="K5" s="302" t="s">
        <v>494</v>
      </c>
      <c r="L5" s="305">
        <f>JICA!O4</f>
        <v>0.16666666666666666</v>
      </c>
      <c r="M5" s="442" t="s">
        <v>637</v>
      </c>
      <c r="N5" s="442" t="s">
        <v>638</v>
      </c>
      <c r="O5" s="397"/>
    </row>
    <row r="6" spans="1:15" s="195" customFormat="1" ht="15" customHeight="1" x14ac:dyDescent="0.3">
      <c r="A6" s="361"/>
      <c r="B6" s="60"/>
      <c r="C6" s="354"/>
      <c r="D6" s="354"/>
      <c r="E6" s="354"/>
      <c r="F6" s="354"/>
      <c r="G6" s="354"/>
      <c r="H6" s="354"/>
      <c r="I6" s="354"/>
      <c r="J6" s="354"/>
      <c r="K6" s="354"/>
      <c r="L6" s="396"/>
      <c r="M6" s="383"/>
      <c r="N6" s="383"/>
      <c r="O6" s="397"/>
    </row>
    <row r="7" spans="1:15" x14ac:dyDescent="0.3">
      <c r="A7" s="241" t="s">
        <v>493</v>
      </c>
      <c r="B7" s="333" t="e">
        <f>SUM(#REF!)</f>
        <v>#REF!</v>
      </c>
      <c r="C7" s="392" t="e">
        <f>SUM(#REF!)</f>
        <v>#REF!</v>
      </c>
      <c r="D7" s="392" t="e">
        <f>SUM(#REF!)</f>
        <v>#REF!</v>
      </c>
      <c r="E7" s="392" t="e">
        <f>SUM(#REF!)</f>
        <v>#REF!</v>
      </c>
      <c r="F7" s="392" t="e">
        <f>SUM(#REF!)</f>
        <v>#REF!</v>
      </c>
      <c r="G7" s="392" t="e">
        <f>SUM(#REF!)</f>
        <v>#REF!</v>
      </c>
      <c r="H7" s="392" t="e">
        <f>SUM(#REF!)</f>
        <v>#REF!</v>
      </c>
      <c r="I7" s="392" t="e">
        <f>SUM(#REF!)</f>
        <v>#REF!</v>
      </c>
      <c r="J7" s="392" t="e">
        <f>SUM(#REF!)</f>
        <v>#REF!</v>
      </c>
      <c r="K7" s="392">
        <f>JICA!N24</f>
        <v>541619.81000000006</v>
      </c>
      <c r="L7" s="331"/>
      <c r="M7" s="241">
        <f>+'budget entry'!E28</f>
        <v>35000</v>
      </c>
      <c r="N7" s="241">
        <v>2841444</v>
      </c>
    </row>
    <row r="8" spans="1:15" ht="12" customHeight="1" x14ac:dyDescent="0.3">
      <c r="L8" s="331"/>
      <c r="M8" s="259"/>
      <c r="N8" s="259"/>
    </row>
    <row r="9" spans="1:15" ht="15" thickBot="1" x14ac:dyDescent="0.35">
      <c r="A9" s="260" t="s">
        <v>463</v>
      </c>
      <c r="L9" s="331"/>
      <c r="M9" s="259"/>
      <c r="N9" s="259"/>
    </row>
    <row r="10" spans="1:15" s="195" customFormat="1" x14ac:dyDescent="0.3">
      <c r="A10" s="56" t="s">
        <v>30</v>
      </c>
      <c r="B10" s="51" t="e">
        <f>SUM(#REF!)</f>
        <v>#REF!</v>
      </c>
      <c r="C10" s="51" t="e">
        <f>SUM(#REF!)</f>
        <v>#REF!</v>
      </c>
      <c r="D10" s="51" t="e">
        <f>SUM(#REF!)</f>
        <v>#REF!</v>
      </c>
      <c r="E10" s="51" t="e">
        <f>SUM(#REF!)</f>
        <v>#REF!</v>
      </c>
      <c r="F10" s="51" t="e">
        <f>SUM(#REF!)</f>
        <v>#REF!</v>
      </c>
      <c r="G10" s="51" t="e">
        <f>SUM(#REF!)</f>
        <v>#REF!</v>
      </c>
      <c r="H10" s="51" t="e">
        <f>SUM(#REF!)</f>
        <v>#REF!</v>
      </c>
      <c r="I10" s="51" t="e">
        <f>SUM(#REF!)</f>
        <v>#REF!</v>
      </c>
      <c r="J10" s="51" t="e">
        <f>SUM(#REF!)</f>
        <v>#REF!</v>
      </c>
      <c r="K10" s="51">
        <f>JICA!N41</f>
        <v>183114.94000000003</v>
      </c>
      <c r="L10" s="467">
        <f>K10/M10</f>
        <v>0.12345092374702837</v>
      </c>
      <c r="M10" s="51">
        <f>+'budget entry'!E52</f>
        <v>1483301.497</v>
      </c>
      <c r="N10" s="51">
        <v>1359726</v>
      </c>
    </row>
    <row r="11" spans="1:15" s="195" customFormat="1" ht="9.6" customHeight="1" x14ac:dyDescent="0.3">
      <c r="A11" s="51"/>
      <c r="B11" s="51"/>
      <c r="C11" s="51"/>
      <c r="D11" s="51"/>
      <c r="E11" s="51"/>
      <c r="F11" s="51"/>
      <c r="G11" s="51"/>
      <c r="H11" s="51"/>
      <c r="I11" s="51"/>
      <c r="J11" s="51"/>
      <c r="K11" s="51"/>
      <c r="L11" s="432"/>
      <c r="M11" s="51"/>
      <c r="N11" s="51"/>
    </row>
    <row r="12" spans="1:15" s="195" customFormat="1" x14ac:dyDescent="0.3">
      <c r="A12" s="58" t="s">
        <v>35</v>
      </c>
      <c r="B12" s="51" t="e">
        <f>SUM(#REF!)</f>
        <v>#REF!</v>
      </c>
      <c r="C12" s="51" t="e">
        <f>SUM(#REF!)</f>
        <v>#REF!</v>
      </c>
      <c r="D12" s="51" t="e">
        <f>SUM(#REF!)</f>
        <v>#REF!</v>
      </c>
      <c r="E12" s="51" t="e">
        <f>SUM(#REF!)</f>
        <v>#REF!</v>
      </c>
      <c r="F12" s="51" t="e">
        <f>SUM(#REF!)</f>
        <v>#REF!</v>
      </c>
      <c r="G12" s="51" t="e">
        <f>SUM(#REF!)</f>
        <v>#REF!</v>
      </c>
      <c r="H12" s="51" t="e">
        <f>SUM(#REF!)</f>
        <v>#REF!</v>
      </c>
      <c r="I12" s="51" t="e">
        <f>SUM(#REF!)</f>
        <v>#REF!</v>
      </c>
      <c r="J12" s="51" t="e">
        <f>SUM(#REF!)</f>
        <v>#REF!</v>
      </c>
      <c r="K12" s="51">
        <f>JICA!N51</f>
        <v>18964.609999999997</v>
      </c>
      <c r="L12" s="467" t="e">
        <f>K12/M12</f>
        <v>#DIV/0!</v>
      </c>
      <c r="M12" s="51">
        <f>+'budget entry'!E68</f>
        <v>0</v>
      </c>
      <c r="N12" s="51">
        <v>131907</v>
      </c>
    </row>
    <row r="13" spans="1:15" s="195" customFormat="1" ht="10.199999999999999" customHeight="1" x14ac:dyDescent="0.3">
      <c r="A13" s="51"/>
      <c r="B13" s="51"/>
      <c r="C13" s="51"/>
      <c r="D13" s="51"/>
      <c r="E13" s="51"/>
      <c r="F13" s="51"/>
      <c r="G13" s="51"/>
      <c r="H13" s="51"/>
      <c r="I13" s="51"/>
      <c r="J13" s="51"/>
      <c r="K13" s="51"/>
      <c r="L13" s="432"/>
      <c r="M13" s="51"/>
      <c r="N13" s="51"/>
    </row>
    <row r="14" spans="1:15" s="195" customFormat="1" x14ac:dyDescent="0.3">
      <c r="A14" s="51" t="s">
        <v>143</v>
      </c>
      <c r="B14" s="51" t="e">
        <f>SUM(#REF!)</f>
        <v>#REF!</v>
      </c>
      <c r="C14" s="51" t="e">
        <f>SUM(#REF!)</f>
        <v>#REF!</v>
      </c>
      <c r="D14" s="51" t="e">
        <f>SUM(#REF!)</f>
        <v>#REF!</v>
      </c>
      <c r="E14" s="51" t="e">
        <f>SUM(#REF!)</f>
        <v>#REF!</v>
      </c>
      <c r="F14" s="51" t="e">
        <f>SUM(#REF!)</f>
        <v>#REF!</v>
      </c>
      <c r="G14" s="51" t="e">
        <f>SUM(#REF!)</f>
        <v>#REF!</v>
      </c>
      <c r="H14" s="51" t="e">
        <f>SUM(#REF!)</f>
        <v>#REF!</v>
      </c>
      <c r="I14" s="51" t="e">
        <f>SUM(#REF!)</f>
        <v>#REF!</v>
      </c>
      <c r="J14" s="51" t="e">
        <f>SUM(#REF!)</f>
        <v>#REF!</v>
      </c>
      <c r="K14" s="51">
        <f>JICA!N59</f>
        <v>19515.79</v>
      </c>
      <c r="L14" s="467" t="e">
        <f>K14/M14</f>
        <v>#DIV/0!</v>
      </c>
      <c r="M14" s="51">
        <f>+'budget entry'!E80</f>
        <v>0</v>
      </c>
      <c r="N14" s="51">
        <v>79862</v>
      </c>
    </row>
    <row r="15" spans="1:15" s="195" customFormat="1" ht="10.95" customHeight="1" x14ac:dyDescent="0.3">
      <c r="A15" s="51"/>
      <c r="B15" s="51"/>
      <c r="C15" s="51"/>
      <c r="D15" s="51"/>
      <c r="E15" s="51"/>
      <c r="F15" s="51"/>
      <c r="G15" s="51"/>
      <c r="H15" s="51"/>
      <c r="I15" s="51"/>
      <c r="J15" s="51"/>
      <c r="K15" s="51"/>
      <c r="L15" s="432"/>
      <c r="M15" s="51"/>
      <c r="N15" s="51"/>
    </row>
    <row r="16" spans="1:15" s="195" customFormat="1" x14ac:dyDescent="0.3">
      <c r="A16" s="58" t="s">
        <v>576</v>
      </c>
      <c r="B16" s="51" t="e">
        <f>SUM(#REF!)</f>
        <v>#REF!</v>
      </c>
      <c r="C16" s="51" t="e">
        <f>SUM(#REF!)</f>
        <v>#REF!</v>
      </c>
      <c r="D16" s="51" t="e">
        <f>SUM(#REF!)</f>
        <v>#REF!</v>
      </c>
      <c r="E16" s="51" t="e">
        <f>SUM(#REF!)</f>
        <v>#REF!</v>
      </c>
      <c r="F16" s="51" t="e">
        <f>SUM(#REF!)</f>
        <v>#REF!</v>
      </c>
      <c r="G16" s="51" t="e">
        <f>SUM(#REF!)</f>
        <v>#REF!</v>
      </c>
      <c r="H16" s="51" t="e">
        <f>SUM(#REF!)</f>
        <v>#REF!</v>
      </c>
      <c r="I16" s="51" t="e">
        <f>SUM(#REF!)</f>
        <v>#REF!</v>
      </c>
      <c r="J16" s="51" t="e">
        <f>SUM(#REF!)</f>
        <v>#REF!</v>
      </c>
      <c r="K16" s="51">
        <f>JICA!N72</f>
        <v>36442.979999999996</v>
      </c>
      <c r="L16" s="467" t="e">
        <f>K16/M16</f>
        <v>#DIV/0!</v>
      </c>
      <c r="M16" s="51">
        <f>+'budget entry'!E95</f>
        <v>0</v>
      </c>
      <c r="N16" s="51">
        <v>234972</v>
      </c>
    </row>
    <row r="17" spans="1:14" s="195" customFormat="1" ht="12.6" customHeight="1" x14ac:dyDescent="0.3">
      <c r="A17" s="51"/>
      <c r="B17" s="51"/>
      <c r="C17" s="51"/>
      <c r="D17" s="51"/>
      <c r="E17" s="51"/>
      <c r="F17" s="51"/>
      <c r="G17" s="51"/>
      <c r="H17" s="51"/>
      <c r="I17" s="51"/>
      <c r="J17" s="51"/>
      <c r="K17" s="51"/>
      <c r="L17" s="432"/>
      <c r="M17" s="51"/>
      <c r="N17" s="51"/>
    </row>
    <row r="18" spans="1:14" s="195" customFormat="1" x14ac:dyDescent="0.3">
      <c r="A18" s="51" t="s">
        <v>144</v>
      </c>
      <c r="B18" s="51" t="e">
        <f>SUM(#REF!)</f>
        <v>#REF!</v>
      </c>
      <c r="C18" s="51" t="e">
        <f>SUM(#REF!)</f>
        <v>#REF!</v>
      </c>
      <c r="D18" s="51" t="e">
        <f>SUM(#REF!)</f>
        <v>#REF!</v>
      </c>
      <c r="E18" s="51" t="e">
        <f>SUM(#REF!)</f>
        <v>#REF!</v>
      </c>
      <c r="F18" s="51" t="e">
        <f>SUM(#REF!)</f>
        <v>#REF!</v>
      </c>
      <c r="G18" s="51" t="e">
        <f>SUM(#REF!)</f>
        <v>#REF!</v>
      </c>
      <c r="H18" s="51" t="e">
        <f>SUM(#REF!)</f>
        <v>#REF!</v>
      </c>
      <c r="I18" s="51" t="e">
        <f>SUM(#REF!)</f>
        <v>#REF!</v>
      </c>
      <c r="J18" s="51" t="e">
        <f>SUM(#REF!)</f>
        <v>#REF!</v>
      </c>
      <c r="K18" s="51">
        <f>JICA!N80</f>
        <v>36078.130000000005</v>
      </c>
      <c r="L18" s="467" t="e">
        <f>K18/M18</f>
        <v>#DIV/0!</v>
      </c>
      <c r="M18" s="51">
        <f>+'budget entry'!E107</f>
        <v>0</v>
      </c>
      <c r="N18" s="51">
        <v>244798</v>
      </c>
    </row>
    <row r="19" spans="1:14" s="195" customFormat="1" ht="10.199999999999999" customHeight="1" x14ac:dyDescent="0.3">
      <c r="A19" s="51"/>
      <c r="B19" s="51"/>
      <c r="C19" s="51"/>
      <c r="D19" s="51"/>
      <c r="E19" s="51"/>
      <c r="F19" s="51"/>
      <c r="G19" s="51"/>
      <c r="H19" s="51"/>
      <c r="I19" s="51"/>
      <c r="J19" s="51"/>
      <c r="K19" s="51"/>
      <c r="L19" s="432"/>
      <c r="M19" s="51"/>
      <c r="N19" s="51"/>
    </row>
    <row r="20" spans="1:14" s="195" customFormat="1" x14ac:dyDescent="0.3">
      <c r="A20" s="78" t="s">
        <v>131</v>
      </c>
      <c r="B20" s="78" t="e">
        <f>SUM(#REF!)</f>
        <v>#REF!</v>
      </c>
      <c r="C20" s="78" t="e">
        <f>SUM(#REF!)</f>
        <v>#REF!</v>
      </c>
      <c r="D20" s="78" t="e">
        <f>SUM(#REF!)</f>
        <v>#REF!</v>
      </c>
      <c r="E20" s="78" t="e">
        <f>SUM(#REF!)</f>
        <v>#REF!</v>
      </c>
      <c r="F20" s="78" t="e">
        <f>SUM(#REF!)</f>
        <v>#REF!</v>
      </c>
      <c r="G20" s="78" t="e">
        <f>SUM(#REF!)</f>
        <v>#REF!</v>
      </c>
      <c r="H20" s="78" t="e">
        <f>SUM(#REF!)</f>
        <v>#REF!</v>
      </c>
      <c r="I20" s="78" t="e">
        <f>SUM(#REF!)</f>
        <v>#REF!</v>
      </c>
      <c r="J20" s="78" t="e">
        <f>SUM(#REF!)</f>
        <v>#REF!</v>
      </c>
      <c r="K20" s="78">
        <f>JICA!N93</f>
        <v>11840.42</v>
      </c>
      <c r="L20" s="467" t="e">
        <f>K20/M20</f>
        <v>#DIV/0!</v>
      </c>
      <c r="M20" s="78">
        <f>+'budget entry'!E122</f>
        <v>0</v>
      </c>
      <c r="N20" s="78">
        <v>85131</v>
      </c>
    </row>
    <row r="21" spans="1:14" s="195" customFormat="1" ht="7.2" customHeight="1" x14ac:dyDescent="0.3">
      <c r="A21" s="51"/>
      <c r="B21" s="370"/>
      <c r="C21" s="370"/>
      <c r="D21" s="370"/>
      <c r="E21" s="370"/>
      <c r="F21" s="370"/>
      <c r="G21" s="370"/>
      <c r="H21" s="370"/>
      <c r="I21" s="370"/>
      <c r="J21" s="370"/>
      <c r="K21" s="370"/>
      <c r="L21" s="432"/>
      <c r="M21" s="370"/>
      <c r="N21" s="370"/>
    </row>
    <row r="22" spans="1:14" s="195" customFormat="1" x14ac:dyDescent="0.3">
      <c r="A22" s="78" t="s">
        <v>577</v>
      </c>
      <c r="B22" s="78" t="e">
        <f>SUM(#REF!)</f>
        <v>#REF!</v>
      </c>
      <c r="C22" s="78" t="e">
        <f>SUM(#REF!)</f>
        <v>#REF!</v>
      </c>
      <c r="D22" s="78" t="e">
        <f>SUM(#REF!)</f>
        <v>#REF!</v>
      </c>
      <c r="E22" s="78" t="e">
        <f>SUM(#REF!)</f>
        <v>#REF!</v>
      </c>
      <c r="F22" s="78" t="e">
        <f>SUM(#REF!)</f>
        <v>#REF!</v>
      </c>
      <c r="G22" s="78" t="e">
        <f>SUM(#REF!)</f>
        <v>#REF!</v>
      </c>
      <c r="H22" s="78" t="e">
        <f>SUM(#REF!)</f>
        <v>#REF!</v>
      </c>
      <c r="I22" s="78" t="e">
        <f>SUM(#REF!)</f>
        <v>#REF!</v>
      </c>
      <c r="J22" s="78" t="e">
        <f>SUM(#REF!)</f>
        <v>#REF!</v>
      </c>
      <c r="K22" s="78">
        <f>JICA!N106</f>
        <v>24242.93</v>
      </c>
      <c r="L22" s="467">
        <f>K22/M22</f>
        <v>1.2121465</v>
      </c>
      <c r="M22" s="78">
        <f>+'budget entry'!E138</f>
        <v>20000</v>
      </c>
      <c r="N22" s="78">
        <v>268900</v>
      </c>
    </row>
    <row r="23" spans="1:14" s="195" customFormat="1" ht="10.95" customHeight="1" x14ac:dyDescent="0.3">
      <c r="A23" s="51"/>
      <c r="B23" s="51"/>
      <c r="C23" s="51"/>
      <c r="D23" s="51"/>
      <c r="E23" s="51"/>
      <c r="F23" s="51"/>
      <c r="G23" s="51"/>
      <c r="H23" s="51"/>
      <c r="I23" s="51"/>
      <c r="J23" s="51"/>
      <c r="K23" s="51"/>
      <c r="L23" s="432"/>
      <c r="M23" s="51"/>
      <c r="N23" s="51">
        <v>0</v>
      </c>
    </row>
    <row r="24" spans="1:14" s="195" customFormat="1" x14ac:dyDescent="0.3">
      <c r="A24" s="58" t="s">
        <v>236</v>
      </c>
      <c r="B24" s="64" t="e">
        <f>SUM(#REF!)</f>
        <v>#REF!</v>
      </c>
      <c r="C24" s="64" t="e">
        <f>SUM(#REF!)</f>
        <v>#REF!</v>
      </c>
      <c r="D24" s="64" t="e">
        <f>SUM(#REF!)</f>
        <v>#REF!</v>
      </c>
      <c r="E24" s="64" t="e">
        <f>SUM(#REF!)</f>
        <v>#REF!</v>
      </c>
      <c r="F24" s="64" t="e">
        <f>SUM(#REF!)</f>
        <v>#REF!</v>
      </c>
      <c r="G24" s="64" t="e">
        <f>SUM(#REF!)</f>
        <v>#REF!</v>
      </c>
      <c r="H24" s="64" t="e">
        <f>SUM(#REF!)</f>
        <v>#REF!</v>
      </c>
      <c r="I24" s="64" t="e">
        <f>SUM(#REF!)</f>
        <v>#REF!</v>
      </c>
      <c r="J24" s="64" t="e">
        <f>SUM(#REF!)</f>
        <v>#REF!</v>
      </c>
      <c r="K24" s="64">
        <f>JICA!N113</f>
        <v>2977.8199999999997</v>
      </c>
      <c r="L24" s="467">
        <f>K24/M24</f>
        <v>0.148891</v>
      </c>
      <c r="M24" s="64">
        <f>+'budget entry'!E146</f>
        <v>20000</v>
      </c>
      <c r="N24" s="64">
        <v>48800</v>
      </c>
    </row>
    <row r="25" spans="1:14" s="195" customFormat="1" ht="8.4" customHeight="1" x14ac:dyDescent="0.3">
      <c r="A25" s="51"/>
      <c r="B25" s="58"/>
      <c r="C25" s="58"/>
      <c r="D25" s="58"/>
      <c r="E25" s="58"/>
      <c r="F25" s="58"/>
      <c r="G25" s="58"/>
      <c r="H25" s="58"/>
      <c r="I25" s="58"/>
      <c r="J25" s="58"/>
      <c r="K25" s="58"/>
      <c r="L25" s="432"/>
      <c r="M25" s="58"/>
      <c r="N25" s="58"/>
    </row>
    <row r="26" spans="1:14" s="195" customFormat="1" x14ac:dyDescent="0.3">
      <c r="A26" s="78" t="s">
        <v>575</v>
      </c>
      <c r="B26" s="79" t="e">
        <f>SUM(#REF!)</f>
        <v>#REF!</v>
      </c>
      <c r="C26" s="79" t="e">
        <f>SUM(#REF!)</f>
        <v>#REF!</v>
      </c>
      <c r="D26" s="79" t="e">
        <f>SUM(#REF!)</f>
        <v>#REF!</v>
      </c>
      <c r="E26" s="79" t="e">
        <f>SUM(#REF!)</f>
        <v>#REF!</v>
      </c>
      <c r="F26" s="79" t="e">
        <f>SUM(#REF!)</f>
        <v>#REF!</v>
      </c>
      <c r="G26" s="79" t="e">
        <f>SUM(#REF!)</f>
        <v>#REF!</v>
      </c>
      <c r="H26" s="79" t="e">
        <f>SUM(#REF!)</f>
        <v>#REF!</v>
      </c>
      <c r="I26" s="79" t="e">
        <f>SUM(#REF!)</f>
        <v>#REF!</v>
      </c>
      <c r="J26" s="79" t="e">
        <f>SUM(#REF!)</f>
        <v>#REF!</v>
      </c>
      <c r="K26" s="79">
        <f>JICA!N123</f>
        <v>24325.399999999994</v>
      </c>
      <c r="L26" s="467">
        <f>K26/M26</f>
        <v>0.77998525026453314</v>
      </c>
      <c r="M26" s="79">
        <f>+'budget entry'!E156</f>
        <v>31187</v>
      </c>
      <c r="N26" s="79">
        <v>147000</v>
      </c>
    </row>
    <row r="27" spans="1:14" s="195" customFormat="1" ht="10.5" customHeight="1" x14ac:dyDescent="0.3">
      <c r="A27" s="51"/>
      <c r="B27" s="464"/>
      <c r="C27" s="464"/>
      <c r="D27" s="464"/>
      <c r="E27" s="464"/>
      <c r="F27" s="464"/>
      <c r="G27" s="464"/>
      <c r="H27" s="464"/>
      <c r="I27" s="464"/>
      <c r="J27" s="464"/>
      <c r="K27" s="464"/>
      <c r="L27" s="432"/>
      <c r="M27" s="464"/>
      <c r="N27" s="464"/>
    </row>
    <row r="28" spans="1:14" s="195" customFormat="1" x14ac:dyDescent="0.3">
      <c r="A28" s="51" t="s">
        <v>481</v>
      </c>
      <c r="B28" s="76">
        <v>60164</v>
      </c>
      <c r="C28" s="76">
        <v>20353.400000000001</v>
      </c>
      <c r="D28" s="76">
        <v>19753.439999999999</v>
      </c>
      <c r="E28" s="76">
        <v>19753.439999999999</v>
      </c>
      <c r="F28" s="76"/>
      <c r="G28" s="76"/>
      <c r="H28" s="76"/>
      <c r="I28" s="76"/>
      <c r="J28" s="76"/>
      <c r="K28" s="468">
        <f>JICA!N131</f>
        <v>39506.879999999997</v>
      </c>
      <c r="L28" s="467">
        <f>K28/M28</f>
        <v>6.2020219780219774</v>
      </c>
      <c r="M28" s="76">
        <f>+'budget entry'!E158</f>
        <v>6370</v>
      </c>
      <c r="N28" s="76">
        <v>240000</v>
      </c>
    </row>
    <row r="29" spans="1:14" ht="12.75" customHeight="1" x14ac:dyDescent="0.3">
      <c r="B29" s="469"/>
      <c r="C29" s="469"/>
      <c r="D29" s="469"/>
      <c r="E29" s="469"/>
      <c r="F29" s="469"/>
      <c r="G29" s="469"/>
      <c r="H29" s="469"/>
      <c r="I29" s="469"/>
      <c r="J29" s="469"/>
      <c r="K29" s="469"/>
      <c r="L29" s="432"/>
      <c r="M29" s="469"/>
      <c r="N29" s="469"/>
    </row>
    <row r="30" spans="1:14" ht="12.75" customHeight="1" x14ac:dyDescent="0.3">
      <c r="A30" s="57" t="s">
        <v>604</v>
      </c>
      <c r="B30" s="376"/>
      <c r="C30" s="376"/>
      <c r="D30" s="376"/>
      <c r="E30" s="376"/>
      <c r="F30" s="376"/>
      <c r="G30" s="376"/>
      <c r="H30" s="376"/>
      <c r="I30" s="376"/>
      <c r="J30" s="376"/>
      <c r="K30" s="372">
        <f>+JICA!N137</f>
        <v>0</v>
      </c>
      <c r="L30" s="331"/>
      <c r="M30" s="372">
        <f>+'budget entry'!E167</f>
        <v>0</v>
      </c>
      <c r="N30" s="372">
        <v>9000</v>
      </c>
    </row>
    <row r="31" spans="1:14" ht="12.75" customHeight="1" x14ac:dyDescent="0.3">
      <c r="B31" s="376"/>
      <c r="C31" s="376"/>
      <c r="D31" s="376"/>
      <c r="E31" s="376"/>
      <c r="F31" s="376"/>
      <c r="G31" s="376"/>
      <c r="H31" s="376"/>
      <c r="I31" s="376"/>
      <c r="J31" s="376"/>
      <c r="K31" s="376"/>
      <c r="L31" s="331"/>
      <c r="M31" s="376"/>
      <c r="N31" s="376"/>
    </row>
    <row r="32" spans="1:14" x14ac:dyDescent="0.3">
      <c r="A32" s="241" t="s">
        <v>50</v>
      </c>
      <c r="B32" s="245" t="e">
        <f t="shared" ref="B32:J32" si="0">+B28+B26+B24+B22+B20+B18+B16+B14+B12+B10</f>
        <v>#REF!</v>
      </c>
      <c r="C32" s="245" t="e">
        <f t="shared" si="0"/>
        <v>#REF!</v>
      </c>
      <c r="D32" s="245" t="e">
        <f t="shared" si="0"/>
        <v>#REF!</v>
      </c>
      <c r="E32" s="245" t="e">
        <f t="shared" si="0"/>
        <v>#REF!</v>
      </c>
      <c r="F32" s="245" t="e">
        <f t="shared" si="0"/>
        <v>#REF!</v>
      </c>
      <c r="G32" s="245" t="e">
        <f t="shared" si="0"/>
        <v>#REF!</v>
      </c>
      <c r="H32" s="245" t="e">
        <f t="shared" si="0"/>
        <v>#REF!</v>
      </c>
      <c r="I32" s="245" t="e">
        <f t="shared" si="0"/>
        <v>#REF!</v>
      </c>
      <c r="J32" s="245" t="e">
        <f t="shared" si="0"/>
        <v>#REF!</v>
      </c>
      <c r="K32" s="245">
        <f>+K28+K26+K24+K22+K20+K18+K16+K14+K12+K10+K30</f>
        <v>397009.9</v>
      </c>
      <c r="L32" s="341">
        <f>K32/M32</f>
        <v>0.25435355015400862</v>
      </c>
      <c r="M32" s="245">
        <f>+M28+M26+M24+M22+M20+M18+M16+M14+M12+M10+M30</f>
        <v>1560858.497</v>
      </c>
      <c r="N32" s="245">
        <f>+N28+N26+N24+N22+N20+N18+N16+N14+N12+N10+N30</f>
        <v>2850096</v>
      </c>
    </row>
    <row r="33" spans="1:14" x14ac:dyDescent="0.3">
      <c r="B33" s="265"/>
      <c r="C33" s="265"/>
      <c r="D33" s="265"/>
      <c r="E33" s="265"/>
      <c r="F33" s="265"/>
      <c r="G33" s="265"/>
      <c r="H33" s="265"/>
      <c r="I33" s="265"/>
      <c r="J33" s="265"/>
      <c r="K33" s="265"/>
      <c r="L33" s="331"/>
      <c r="M33" s="265"/>
      <c r="N33" s="265"/>
    </row>
    <row r="34" spans="1:14" ht="15" thickBot="1" x14ac:dyDescent="0.35">
      <c r="A34" s="241" t="s">
        <v>482</v>
      </c>
      <c r="B34" s="303" t="e">
        <f t="shared" ref="B34:K34" si="1">B7-B32</f>
        <v>#REF!</v>
      </c>
      <c r="C34" s="303" t="e">
        <f t="shared" si="1"/>
        <v>#REF!</v>
      </c>
      <c r="D34" s="303" t="e">
        <f t="shared" si="1"/>
        <v>#REF!</v>
      </c>
      <c r="E34" s="303" t="e">
        <f t="shared" si="1"/>
        <v>#REF!</v>
      </c>
      <c r="F34" s="303" t="e">
        <f t="shared" si="1"/>
        <v>#REF!</v>
      </c>
      <c r="G34" s="303" t="e">
        <f t="shared" si="1"/>
        <v>#REF!</v>
      </c>
      <c r="H34" s="303" t="e">
        <f t="shared" si="1"/>
        <v>#REF!</v>
      </c>
      <c r="I34" s="303" t="e">
        <f t="shared" si="1"/>
        <v>#REF!</v>
      </c>
      <c r="J34" s="303" t="e">
        <f t="shared" si="1"/>
        <v>#REF!</v>
      </c>
      <c r="K34" s="303">
        <f t="shared" si="1"/>
        <v>144609.91000000003</v>
      </c>
      <c r="L34" s="331"/>
      <c r="M34" s="303">
        <f>M7-M32</f>
        <v>-1525858.497</v>
      </c>
      <c r="N34" s="303">
        <f>N7-N32</f>
        <v>-8652</v>
      </c>
    </row>
    <row r="35" spans="1:14" ht="15" thickTop="1" x14ac:dyDescent="0.3">
      <c r="B35" s="265"/>
      <c r="C35" s="265"/>
      <c r="D35" s="265"/>
      <c r="E35" s="265"/>
      <c r="F35" s="265"/>
      <c r="G35" s="265"/>
      <c r="H35" s="265"/>
      <c r="I35" s="265"/>
      <c r="J35" s="265"/>
      <c r="K35" s="265"/>
      <c r="L35" s="331"/>
      <c r="M35" s="265"/>
      <c r="N35" s="265"/>
    </row>
    <row r="36" spans="1:14" x14ac:dyDescent="0.3">
      <c r="A36" s="62" t="s">
        <v>483</v>
      </c>
      <c r="L36" s="331"/>
      <c r="M36" s="257">
        <v>836204</v>
      </c>
      <c r="N36" s="257">
        <v>836204</v>
      </c>
    </row>
    <row r="37" spans="1:14" ht="15" thickBot="1" x14ac:dyDescent="0.35">
      <c r="A37" s="62" t="s">
        <v>588</v>
      </c>
      <c r="L37" s="331"/>
      <c r="M37" s="266">
        <f>+M36+M34</f>
        <v>-689654.49699999997</v>
      </c>
      <c r="N37" s="266">
        <f>+N36+N34</f>
        <v>827552</v>
      </c>
    </row>
    <row r="38" spans="1:14" ht="15" thickTop="1" x14ac:dyDescent="0.3">
      <c r="L38" s="331"/>
      <c r="M38" s="57"/>
      <c r="N38" s="57"/>
    </row>
    <row r="39" spans="1:14" x14ac:dyDescent="0.3">
      <c r="A39" s="62"/>
      <c r="L39" s="331"/>
      <c r="M39" s="57"/>
      <c r="N39" s="57"/>
    </row>
    <row r="40" spans="1:14" x14ac:dyDescent="0.3">
      <c r="L40" s="331"/>
      <c r="M40" s="57"/>
      <c r="N40" s="57"/>
    </row>
    <row r="41" spans="1:14" x14ac:dyDescent="0.3">
      <c r="A41" s="51"/>
      <c r="L41" s="331"/>
      <c r="M41" s="51"/>
      <c r="N41" s="51"/>
    </row>
    <row r="42" spans="1:14" x14ac:dyDescent="0.3">
      <c r="L42" s="331"/>
      <c r="M42" s="57"/>
      <c r="N42" s="57"/>
    </row>
    <row r="43" spans="1:14" x14ac:dyDescent="0.3">
      <c r="L43" s="331"/>
      <c r="M43" s="268"/>
      <c r="N43" s="268"/>
    </row>
    <row r="44" spans="1:14" x14ac:dyDescent="0.3">
      <c r="L44" s="331"/>
      <c r="M44" s="268"/>
      <c r="N44" s="268"/>
    </row>
    <row r="45" spans="1:14" x14ac:dyDescent="0.3">
      <c r="L45" s="331"/>
      <c r="M45" s="57"/>
      <c r="N45" s="57"/>
    </row>
    <row r="46" spans="1:14" x14ac:dyDescent="0.3">
      <c r="L46" s="331"/>
      <c r="M46" s="268"/>
      <c r="N46" s="268"/>
    </row>
    <row r="47" spans="1:14" x14ac:dyDescent="0.3">
      <c r="L47" s="331"/>
      <c r="M47" s="268"/>
      <c r="N47" s="268"/>
    </row>
    <row r="48" spans="1:14" x14ac:dyDescent="0.3">
      <c r="L48" s="331"/>
      <c r="M48" s="57"/>
      <c r="N48" s="57"/>
    </row>
    <row r="49" spans="12:14" x14ac:dyDescent="0.3">
      <c r="L49" s="331"/>
      <c r="M49" s="57"/>
      <c r="N49" s="57"/>
    </row>
    <row r="50" spans="12:14" x14ac:dyDescent="0.3">
      <c r="L50" s="331"/>
      <c r="M50" s="57"/>
      <c r="N50" s="57"/>
    </row>
    <row r="51" spans="12:14" x14ac:dyDescent="0.3">
      <c r="M51" s="262"/>
      <c r="N51" s="262"/>
    </row>
    <row r="52" spans="12:14" x14ac:dyDescent="0.3">
      <c r="M52" s="262"/>
      <c r="N52" s="262"/>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activeCell="N37" sqref="A1:N37"/>
    </sheetView>
  </sheetViews>
  <sheetFormatPr defaultRowHeight="14.4" x14ac:dyDescent="0.3"/>
  <cols>
    <col min="1" max="1" width="30" style="57" customWidth="1"/>
    <col min="2" max="10" width="12.5546875" style="57" hidden="1" customWidth="1"/>
    <col min="11" max="11" width="12.33203125" style="57" customWidth="1"/>
    <col min="12" max="12" width="7.33203125" style="268" bestFit="1" customWidth="1"/>
    <col min="13" max="13" width="12.6640625" style="57" customWidth="1"/>
    <col min="14" max="14" width="15.44140625" style="57" customWidth="1"/>
    <col min="15" max="15" width="19" style="195" customWidth="1"/>
    <col min="18" max="18" width="10" bestFit="1" customWidth="1"/>
  </cols>
  <sheetData>
    <row r="1" spans="1:15" x14ac:dyDescent="0.3">
      <c r="A1" s="52"/>
      <c r="B1" s="52"/>
      <c r="C1" s="52"/>
      <c r="D1" s="52"/>
      <c r="E1" s="52"/>
      <c r="F1" s="52"/>
      <c r="G1" s="52"/>
      <c r="H1" s="52"/>
      <c r="I1" s="52"/>
      <c r="J1" s="52"/>
      <c r="K1" s="52"/>
      <c r="L1" s="307"/>
      <c r="M1" s="308" t="s">
        <v>15</v>
      </c>
      <c r="N1" s="308" t="s">
        <v>15</v>
      </c>
    </row>
    <row r="2" spans="1:15" x14ac:dyDescent="0.3">
      <c r="A2" s="312" t="s">
        <v>495</v>
      </c>
      <c r="B2" s="309"/>
      <c r="C2" s="309"/>
      <c r="D2" s="309"/>
      <c r="E2" s="309"/>
      <c r="F2" s="309"/>
      <c r="G2" s="309"/>
      <c r="H2" s="309"/>
      <c r="I2" s="309"/>
      <c r="J2" s="309"/>
      <c r="K2" s="310" t="s">
        <v>15</v>
      </c>
      <c r="L2" s="310" t="s">
        <v>546</v>
      </c>
      <c r="M2" s="311">
        <v>8234</v>
      </c>
      <c r="N2" s="311">
        <v>8310</v>
      </c>
      <c r="O2" s="364"/>
    </row>
    <row r="3" spans="1:15" x14ac:dyDescent="0.3">
      <c r="A3" s="312" t="s">
        <v>533</v>
      </c>
      <c r="B3" s="312"/>
      <c r="C3" s="312"/>
      <c r="D3" s="312"/>
      <c r="E3" s="312"/>
      <c r="F3" s="312"/>
      <c r="G3" s="312"/>
      <c r="H3" s="312"/>
      <c r="I3" s="312"/>
      <c r="J3" s="312"/>
      <c r="K3" s="312" t="s">
        <v>15</v>
      </c>
      <c r="L3" s="313" t="s">
        <v>458</v>
      </c>
      <c r="M3" s="311">
        <v>446</v>
      </c>
      <c r="N3" s="311">
        <v>446</v>
      </c>
      <c r="O3" s="364"/>
    </row>
    <row r="4" spans="1:15" ht="29.4" customHeight="1" thickBot="1" x14ac:dyDescent="0.35">
      <c r="A4" s="358" t="str">
        <f>MS!A4</f>
        <v>August 31, 2019</v>
      </c>
      <c r="B4" s="306" t="s">
        <v>562</v>
      </c>
      <c r="C4" s="312" t="s">
        <v>548</v>
      </c>
      <c r="D4" s="312" t="s">
        <v>550</v>
      </c>
      <c r="E4" s="312" t="s">
        <v>551</v>
      </c>
      <c r="F4" s="312" t="s">
        <v>553</v>
      </c>
      <c r="G4" s="312" t="s">
        <v>560</v>
      </c>
      <c r="H4" s="312" t="s">
        <v>561</v>
      </c>
      <c r="I4" s="312" t="s">
        <v>559</v>
      </c>
      <c r="J4" s="312" t="s">
        <v>557</v>
      </c>
      <c r="K4" s="306" t="s">
        <v>494</v>
      </c>
      <c r="L4" s="313">
        <f>MS!O4</f>
        <v>0.16666666666666666</v>
      </c>
      <c r="M4" s="447" t="s">
        <v>637</v>
      </c>
      <c r="N4" s="448" t="s">
        <v>639</v>
      </c>
      <c r="O4" s="397"/>
    </row>
    <row r="5" spans="1:15" s="195" customFormat="1" x14ac:dyDescent="0.3">
      <c r="A5" s="361"/>
      <c r="B5" s="60"/>
      <c r="C5" s="60"/>
      <c r="D5" s="60"/>
      <c r="E5" s="60"/>
      <c r="F5" s="60"/>
      <c r="G5" s="60"/>
      <c r="H5" s="60"/>
      <c r="I5" s="60"/>
      <c r="J5" s="60"/>
      <c r="K5" s="51"/>
      <c r="L5" s="362"/>
      <c r="M5" s="354"/>
      <c r="N5" s="354"/>
    </row>
    <row r="6" spans="1:15" x14ac:dyDescent="0.3">
      <c r="A6" s="306" t="s">
        <v>493</v>
      </c>
      <c r="B6" s="306" t="e">
        <f>SUM(#REF!)</f>
        <v>#REF!</v>
      </c>
      <c r="C6" s="306" t="e">
        <f>SUM(#REF!)</f>
        <v>#REF!</v>
      </c>
      <c r="D6" s="306" t="e">
        <f>SUM(#REF!)</f>
        <v>#REF!</v>
      </c>
      <c r="E6" s="306" t="e">
        <f>SUM(#REF!)</f>
        <v>#REF!</v>
      </c>
      <c r="F6" s="306" t="e">
        <f>SUM(#REF!)</f>
        <v>#REF!</v>
      </c>
      <c r="G6" s="306" t="e">
        <f>SUM(#REF!)</f>
        <v>#REF!</v>
      </c>
      <c r="H6" s="306" t="e">
        <f>SUM(#REF!)</f>
        <v>#REF!</v>
      </c>
      <c r="I6" s="306" t="e">
        <f>SUM(#REF!)</f>
        <v>#REF!</v>
      </c>
      <c r="J6" s="306" t="e">
        <f>SUM(#REF!)</f>
        <v>#REF!</v>
      </c>
      <c r="K6" s="306">
        <f>+MS!N22</f>
        <v>797000.86000000022</v>
      </c>
      <c r="L6" s="342" t="e">
        <f>K6/M6</f>
        <v>#DIV/0!</v>
      </c>
      <c r="M6" s="306">
        <f>+'budget entry'!C28</f>
        <v>0</v>
      </c>
      <c r="N6" s="306">
        <v>3979517</v>
      </c>
    </row>
    <row r="7" spans="1:15" ht="9" customHeight="1" x14ac:dyDescent="0.3">
      <c r="B7" s="259"/>
      <c r="C7" s="259"/>
      <c r="D7" s="259"/>
      <c r="E7" s="259"/>
      <c r="F7" s="259"/>
      <c r="G7" s="259"/>
      <c r="H7" s="259"/>
      <c r="I7" s="259"/>
      <c r="J7" s="259"/>
      <c r="K7" s="259"/>
      <c r="L7" s="343"/>
      <c r="M7" s="259"/>
      <c r="N7" s="259"/>
    </row>
    <row r="8" spans="1:15" ht="15" thickBot="1" x14ac:dyDescent="0.35">
      <c r="A8" s="260" t="s">
        <v>463</v>
      </c>
      <c r="B8" s="259"/>
      <c r="C8" s="259"/>
      <c r="D8" s="259"/>
      <c r="E8" s="259"/>
      <c r="F8" s="259"/>
      <c r="G8" s="259"/>
      <c r="H8" s="259"/>
      <c r="I8" s="259"/>
      <c r="J8" s="259"/>
      <c r="K8" s="259"/>
      <c r="L8" s="343"/>
      <c r="M8" s="259"/>
      <c r="N8" s="259"/>
    </row>
    <row r="9" spans="1:15" ht="11.25" customHeight="1" x14ac:dyDescent="0.3">
      <c r="A9" s="270" t="s">
        <v>15</v>
      </c>
      <c r="B9" s="262"/>
      <c r="C9" s="262"/>
      <c r="D9" s="262"/>
      <c r="E9" s="262"/>
      <c r="F9" s="262"/>
      <c r="G9" s="262"/>
      <c r="H9" s="262"/>
      <c r="I9" s="262"/>
      <c r="J9" s="262"/>
      <c r="K9" s="262"/>
      <c r="L9" s="344"/>
      <c r="M9" s="262"/>
      <c r="N9" s="262"/>
    </row>
    <row r="10" spans="1:15" s="195" customFormat="1" x14ac:dyDescent="0.3">
      <c r="A10" s="56" t="s">
        <v>30</v>
      </c>
      <c r="B10" s="51" t="e">
        <f>SUM(#REF!)</f>
        <v>#REF!</v>
      </c>
      <c r="C10" s="51" t="e">
        <f>SUM(#REF!)</f>
        <v>#REF!</v>
      </c>
      <c r="D10" s="51" t="e">
        <f>SUM(#REF!)</f>
        <v>#REF!</v>
      </c>
      <c r="E10" s="51" t="e">
        <f>SUM(#REF!)</f>
        <v>#REF!</v>
      </c>
      <c r="F10" s="51" t="e">
        <f>SUM(#REF!)</f>
        <v>#REF!</v>
      </c>
      <c r="G10" s="51" t="e">
        <f>SUM(#REF!)</f>
        <v>#REF!</v>
      </c>
      <c r="H10" s="51" t="e">
        <f>SUM(#REF!)</f>
        <v>#REF!</v>
      </c>
      <c r="I10" s="51" t="e">
        <f>SUM(#REF!)</f>
        <v>#REF!</v>
      </c>
      <c r="J10" s="51" t="e">
        <f>SUM(#REF!)</f>
        <v>#REF!</v>
      </c>
      <c r="K10" s="51">
        <f>MS!N39</f>
        <v>363584.69</v>
      </c>
      <c r="L10" s="286">
        <f>K10/M10</f>
        <v>0.15971623678279448</v>
      </c>
      <c r="M10" s="51">
        <f>+'budget entry'!C52</f>
        <v>2276441.6274999999</v>
      </c>
      <c r="N10" s="51">
        <v>2018317</v>
      </c>
    </row>
    <row r="11" spans="1:15" s="195" customFormat="1" ht="9" customHeight="1" x14ac:dyDescent="0.3">
      <c r="A11" s="51"/>
      <c r="B11" s="51"/>
      <c r="C11" s="51"/>
      <c r="D11" s="51"/>
      <c r="E11" s="51"/>
      <c r="F11" s="51"/>
      <c r="G11" s="51"/>
      <c r="H11" s="51"/>
      <c r="I11" s="51"/>
      <c r="J11" s="51"/>
      <c r="K11" s="51"/>
      <c r="L11" s="344"/>
      <c r="M11" s="51"/>
      <c r="N11" s="51"/>
    </row>
    <row r="12" spans="1:15" s="195" customFormat="1" x14ac:dyDescent="0.3">
      <c r="A12" s="51" t="s">
        <v>142</v>
      </c>
      <c r="B12" s="51" t="e">
        <f>SUM(#REF!)</f>
        <v>#REF!</v>
      </c>
      <c r="C12" s="51" t="e">
        <f>SUM(#REF!)</f>
        <v>#REF!</v>
      </c>
      <c r="D12" s="51" t="e">
        <f>SUM(#REF!)</f>
        <v>#REF!</v>
      </c>
      <c r="E12" s="51" t="e">
        <f>SUM(#REF!)</f>
        <v>#REF!</v>
      </c>
      <c r="F12" s="51" t="e">
        <f>SUM(#REF!)</f>
        <v>#REF!</v>
      </c>
      <c r="G12" s="51" t="e">
        <f>SUM(#REF!)</f>
        <v>#REF!</v>
      </c>
      <c r="H12" s="51" t="e">
        <f>SUM(#REF!)</f>
        <v>#REF!</v>
      </c>
      <c r="I12" s="51" t="e">
        <f>SUM(#REF!)</f>
        <v>#REF!</v>
      </c>
      <c r="J12" s="51" t="e">
        <f>SUM(#REF!)</f>
        <v>#REF!</v>
      </c>
      <c r="K12" s="51">
        <f>MS!N49</f>
        <v>35712.829999999994</v>
      </c>
      <c r="L12" s="286" t="e">
        <f>K12/M12</f>
        <v>#DIV/0!</v>
      </c>
      <c r="M12" s="51">
        <f>+'budget entry'!C68</f>
        <v>0</v>
      </c>
      <c r="N12" s="51">
        <v>255418</v>
      </c>
    </row>
    <row r="13" spans="1:15" s="195" customFormat="1" ht="11.4" customHeight="1" x14ac:dyDescent="0.3">
      <c r="A13" s="51"/>
      <c r="B13" s="51"/>
      <c r="C13" s="51"/>
      <c r="D13" s="51"/>
      <c r="E13" s="51"/>
      <c r="F13" s="51"/>
      <c r="G13" s="51"/>
      <c r="H13" s="51"/>
      <c r="I13" s="51"/>
      <c r="J13" s="51"/>
      <c r="K13" s="51"/>
      <c r="L13" s="344"/>
      <c r="M13" s="51"/>
      <c r="N13" s="51"/>
    </row>
    <row r="14" spans="1:15" s="195" customFormat="1" x14ac:dyDescent="0.3">
      <c r="A14" s="51" t="s">
        <v>143</v>
      </c>
      <c r="B14" s="51" t="e">
        <f>SUM(#REF!)</f>
        <v>#REF!</v>
      </c>
      <c r="C14" s="51" t="e">
        <f>SUM(#REF!)</f>
        <v>#REF!</v>
      </c>
      <c r="D14" s="51" t="e">
        <f>SUM(#REF!)</f>
        <v>#REF!</v>
      </c>
      <c r="E14" s="51" t="e">
        <f>SUM(#REF!)</f>
        <v>#REF!</v>
      </c>
      <c r="F14" s="51" t="e">
        <f>SUM(#REF!)</f>
        <v>#REF!</v>
      </c>
      <c r="G14" s="51" t="e">
        <f>SUM(#REF!)</f>
        <v>#REF!</v>
      </c>
      <c r="H14" s="51" t="e">
        <f>SUM(#REF!)</f>
        <v>#REF!</v>
      </c>
      <c r="I14" s="51" t="e">
        <f>SUM(#REF!)</f>
        <v>#REF!</v>
      </c>
      <c r="J14" s="51" t="e">
        <f>SUM(#REF!)</f>
        <v>#REF!</v>
      </c>
      <c r="K14" s="51">
        <f>MS!N59</f>
        <v>28659.29</v>
      </c>
      <c r="L14" s="286" t="e">
        <f>K14/M14</f>
        <v>#DIV/0!</v>
      </c>
      <c r="M14" s="51">
        <f>+'budget entry'!C80</f>
        <v>0</v>
      </c>
      <c r="N14" s="51">
        <v>122867</v>
      </c>
    </row>
    <row r="15" spans="1:15" s="195" customFormat="1" ht="12.6" customHeight="1" x14ac:dyDescent="0.3">
      <c r="A15" s="51"/>
      <c r="B15" s="51"/>
      <c r="C15" s="51"/>
      <c r="D15" s="51"/>
      <c r="E15" s="51"/>
      <c r="F15" s="51"/>
      <c r="G15" s="51"/>
      <c r="H15" s="51"/>
      <c r="I15" s="51"/>
      <c r="J15" s="51"/>
      <c r="K15" s="51"/>
      <c r="L15" s="344"/>
      <c r="M15" s="51"/>
      <c r="N15" s="51"/>
    </row>
    <row r="16" spans="1:15" s="195" customFormat="1" x14ac:dyDescent="0.3">
      <c r="A16" s="51" t="s">
        <v>632</v>
      </c>
      <c r="B16" s="51" t="e">
        <f>SUM(#REF!)</f>
        <v>#REF!</v>
      </c>
      <c r="C16" s="51" t="e">
        <f>SUM(#REF!)</f>
        <v>#REF!</v>
      </c>
      <c r="D16" s="51" t="e">
        <f>SUM(#REF!)</f>
        <v>#REF!</v>
      </c>
      <c r="E16" s="51" t="e">
        <f>SUM(#REF!)</f>
        <v>#REF!</v>
      </c>
      <c r="F16" s="51" t="e">
        <f>SUM(#REF!)</f>
        <v>#REF!</v>
      </c>
      <c r="G16" s="51" t="e">
        <f>SUM(#REF!)</f>
        <v>#REF!</v>
      </c>
      <c r="H16" s="51" t="e">
        <f>SUM(#REF!)</f>
        <v>#REF!</v>
      </c>
      <c r="I16" s="51" t="e">
        <f>SUM(#REF!)</f>
        <v>#REF!</v>
      </c>
      <c r="J16" s="51" t="e">
        <f>SUM(#REF!)</f>
        <v>#REF!</v>
      </c>
      <c r="K16" s="51">
        <f>MS!N72</f>
        <v>30597.78</v>
      </c>
      <c r="L16" s="286" t="e">
        <f>K16/M16</f>
        <v>#DIV/0!</v>
      </c>
      <c r="M16" s="51">
        <f>+'budget entry'!C95</f>
        <v>0</v>
      </c>
      <c r="N16" s="51">
        <v>250348</v>
      </c>
    </row>
    <row r="17" spans="1:15" s="195" customFormat="1" ht="10.95" customHeight="1" x14ac:dyDescent="0.3">
      <c r="A17" s="51"/>
      <c r="B17" s="51"/>
      <c r="C17" s="51"/>
      <c r="D17" s="51"/>
      <c r="E17" s="51"/>
      <c r="F17" s="51"/>
      <c r="G17" s="51"/>
      <c r="H17" s="51"/>
      <c r="I17" s="51"/>
      <c r="J17" s="51"/>
      <c r="K17" s="51"/>
      <c r="L17" s="344"/>
      <c r="M17" s="51"/>
      <c r="N17" s="51"/>
    </row>
    <row r="18" spans="1:15" s="195" customFormat="1" x14ac:dyDescent="0.3">
      <c r="A18" s="58" t="s">
        <v>20</v>
      </c>
      <c r="B18" s="51" t="e">
        <f>SUM(#REF!)</f>
        <v>#REF!</v>
      </c>
      <c r="C18" s="51" t="e">
        <f>SUM(#REF!)</f>
        <v>#REF!</v>
      </c>
      <c r="D18" s="51" t="e">
        <f>SUM(#REF!)</f>
        <v>#REF!</v>
      </c>
      <c r="E18" s="51" t="e">
        <f>SUM(#REF!)</f>
        <v>#REF!</v>
      </c>
      <c r="F18" s="51" t="e">
        <f>SUM(#REF!)</f>
        <v>#REF!</v>
      </c>
      <c r="G18" s="51" t="e">
        <f>SUM(#REF!)</f>
        <v>#REF!</v>
      </c>
      <c r="H18" s="51" t="e">
        <f>SUM(#REF!)</f>
        <v>#REF!</v>
      </c>
      <c r="I18" s="51" t="e">
        <f>SUM(#REF!)</f>
        <v>#REF!</v>
      </c>
      <c r="J18" s="51" t="e">
        <f>SUM(#REF!)</f>
        <v>#REF!</v>
      </c>
      <c r="K18" s="51">
        <f>MS!N81</f>
        <v>38212.759999999995</v>
      </c>
      <c r="L18" s="286" t="e">
        <f>K18/M18</f>
        <v>#DIV/0!</v>
      </c>
      <c r="M18" s="51">
        <f>+'budget entry'!C107</f>
        <v>0</v>
      </c>
      <c r="N18" s="51">
        <v>246860</v>
      </c>
    </row>
    <row r="19" spans="1:15" s="195" customFormat="1" x14ac:dyDescent="0.3">
      <c r="A19" s="51"/>
      <c r="B19" s="51"/>
      <c r="C19" s="51"/>
      <c r="D19" s="51"/>
      <c r="E19" s="51"/>
      <c r="F19" s="51"/>
      <c r="G19" s="51"/>
      <c r="H19" s="51"/>
      <c r="I19" s="51"/>
      <c r="J19" s="51"/>
      <c r="K19" s="51"/>
      <c r="L19" s="344"/>
      <c r="M19" s="51"/>
      <c r="N19" s="51"/>
    </row>
    <row r="20" spans="1:15" s="195" customFormat="1" x14ac:dyDescent="0.3">
      <c r="A20" s="78" t="s">
        <v>540</v>
      </c>
      <c r="B20" s="78" t="e">
        <f>SUM(#REF!)</f>
        <v>#REF!</v>
      </c>
      <c r="C20" s="78" t="e">
        <f>SUM(#REF!)</f>
        <v>#REF!</v>
      </c>
      <c r="D20" s="78" t="e">
        <f>SUM(#REF!)</f>
        <v>#REF!</v>
      </c>
      <c r="E20" s="78" t="e">
        <f>SUM(#REF!)</f>
        <v>#REF!</v>
      </c>
      <c r="F20" s="78" t="e">
        <f>SUM(#REF!)</f>
        <v>#REF!</v>
      </c>
      <c r="G20" s="78" t="e">
        <f>SUM(#REF!)</f>
        <v>#REF!</v>
      </c>
      <c r="H20" s="78" t="e">
        <f>SUM(#REF!)</f>
        <v>#REF!</v>
      </c>
      <c r="I20" s="78" t="e">
        <f>SUM(#REF!)</f>
        <v>#REF!</v>
      </c>
      <c r="J20" s="78" t="e">
        <f>SUM(#REF!)</f>
        <v>#REF!</v>
      </c>
      <c r="K20" s="78">
        <f>MS!N93</f>
        <v>11787.07</v>
      </c>
      <c r="L20" s="286" t="e">
        <f>K20/M20</f>
        <v>#DIV/0!</v>
      </c>
      <c r="M20" s="78">
        <f>+'budget entry'!C122</f>
        <v>0</v>
      </c>
      <c r="N20" s="78">
        <v>121911</v>
      </c>
    </row>
    <row r="21" spans="1:15" s="195" customFormat="1" ht="9.6" customHeight="1" x14ac:dyDescent="0.3">
      <c r="A21" s="51"/>
      <c r="B21" s="370"/>
      <c r="C21" s="370"/>
      <c r="D21" s="370"/>
      <c r="E21" s="370"/>
      <c r="F21" s="370"/>
      <c r="G21" s="370"/>
      <c r="H21" s="370"/>
      <c r="I21" s="370"/>
      <c r="J21" s="370"/>
      <c r="K21" s="370"/>
      <c r="L21" s="398"/>
      <c r="M21" s="370"/>
      <c r="N21" s="370"/>
    </row>
    <row r="22" spans="1:15" s="195" customFormat="1" x14ac:dyDescent="0.3">
      <c r="A22" s="78" t="s">
        <v>541</v>
      </c>
      <c r="B22" s="78" t="e">
        <f>SUM(#REF!)</f>
        <v>#REF!</v>
      </c>
      <c r="C22" s="78" t="e">
        <f>SUM(#REF!)</f>
        <v>#REF!</v>
      </c>
      <c r="D22" s="78" t="e">
        <f>SUM(#REF!)</f>
        <v>#REF!</v>
      </c>
      <c r="E22" s="78" t="e">
        <f>SUM(#REF!)</f>
        <v>#REF!</v>
      </c>
      <c r="F22" s="78" t="e">
        <f>SUM(#REF!)</f>
        <v>#REF!</v>
      </c>
      <c r="G22" s="78" t="e">
        <f>SUM(#REF!)</f>
        <v>#REF!</v>
      </c>
      <c r="H22" s="78" t="e">
        <f>SUM(#REF!)</f>
        <v>#REF!</v>
      </c>
      <c r="I22" s="78" t="e">
        <f>SUM(#REF!)</f>
        <v>#REF!</v>
      </c>
      <c r="J22" s="78" t="e">
        <f>SUM(#REF!)</f>
        <v>#REF!</v>
      </c>
      <c r="K22" s="78">
        <f>MS!N106</f>
        <v>37139.35</v>
      </c>
      <c r="L22" s="286">
        <f>K22/M22</f>
        <v>2.9711479999999999</v>
      </c>
      <c r="M22" s="78">
        <f>+'budget entry'!C138</f>
        <v>12500</v>
      </c>
      <c r="N22" s="78">
        <v>296100</v>
      </c>
    </row>
    <row r="23" spans="1:15" s="195" customFormat="1" x14ac:dyDescent="0.3">
      <c r="A23" s="51"/>
      <c r="B23" s="51"/>
      <c r="C23" s="51"/>
      <c r="D23" s="51"/>
      <c r="E23" s="51"/>
      <c r="F23" s="51"/>
      <c r="G23" s="51"/>
      <c r="H23" s="51"/>
      <c r="I23" s="51"/>
      <c r="J23" s="51"/>
      <c r="K23" s="51"/>
      <c r="L23" s="344"/>
      <c r="M23" s="51"/>
      <c r="N23" s="51"/>
    </row>
    <row r="24" spans="1:15" s="195" customFormat="1" x14ac:dyDescent="0.3">
      <c r="A24" s="51" t="s">
        <v>236</v>
      </c>
      <c r="B24" s="64" t="e">
        <f>SUM(#REF!)</f>
        <v>#REF!</v>
      </c>
      <c r="C24" s="64" t="e">
        <f>SUM(#REF!)</f>
        <v>#REF!</v>
      </c>
      <c r="D24" s="64" t="e">
        <f>SUM(#REF!)</f>
        <v>#REF!</v>
      </c>
      <c r="E24" s="64" t="e">
        <f>SUM(#REF!)</f>
        <v>#REF!</v>
      </c>
      <c r="F24" s="64" t="e">
        <f>SUM(#REF!)</f>
        <v>#REF!</v>
      </c>
      <c r="G24" s="64" t="e">
        <f>SUM(#REF!)</f>
        <v>#REF!</v>
      </c>
      <c r="H24" s="64" t="e">
        <f>SUM(#REF!)</f>
        <v>#REF!</v>
      </c>
      <c r="I24" s="64" t="e">
        <f>SUM(#REF!)</f>
        <v>#REF!</v>
      </c>
      <c r="J24" s="64" t="e">
        <f>SUM(#REF!)</f>
        <v>#REF!</v>
      </c>
      <c r="K24" s="64">
        <f>MS!N113</f>
        <v>3225.0599999999995</v>
      </c>
      <c r="L24" s="286">
        <f>K24/M24</f>
        <v>6.4501199999999995E-2</v>
      </c>
      <c r="M24" s="64">
        <f>+'budget entry'!C146</f>
        <v>50000</v>
      </c>
      <c r="N24" s="64">
        <v>23150</v>
      </c>
    </row>
    <row r="25" spans="1:15" s="195" customFormat="1" x14ac:dyDescent="0.3">
      <c r="A25" s="51"/>
      <c r="B25" s="58"/>
      <c r="C25" s="58"/>
      <c r="D25" s="58"/>
      <c r="E25" s="58"/>
      <c r="F25" s="58"/>
      <c r="G25" s="58"/>
      <c r="H25" s="58"/>
      <c r="I25" s="58"/>
      <c r="J25" s="58"/>
      <c r="K25" s="58"/>
      <c r="L25" s="344"/>
      <c r="M25" s="58"/>
      <c r="N25" s="58"/>
      <c r="O25" s="374"/>
    </row>
    <row r="26" spans="1:15" s="195" customFormat="1" x14ac:dyDescent="0.3">
      <c r="A26" s="78" t="s">
        <v>542</v>
      </c>
      <c r="B26" s="79" t="e">
        <f>SUM(#REF!)</f>
        <v>#REF!</v>
      </c>
      <c r="C26" s="79" t="e">
        <f>SUM(#REF!)</f>
        <v>#REF!</v>
      </c>
      <c r="D26" s="103" t="e">
        <f>SUM(#REF!)</f>
        <v>#REF!</v>
      </c>
      <c r="E26" s="79" t="e">
        <f>SUM(#REF!)</f>
        <v>#REF!</v>
      </c>
      <c r="F26" s="79" t="e">
        <f>SUM(#REF!)</f>
        <v>#REF!</v>
      </c>
      <c r="G26" s="79" t="e">
        <f>SUM(#REF!)</f>
        <v>#REF!</v>
      </c>
      <c r="H26" s="79" t="e">
        <f>SUM(#REF!)</f>
        <v>#REF!</v>
      </c>
      <c r="I26" s="79" t="e">
        <f>SUM(#REF!)</f>
        <v>#REF!</v>
      </c>
      <c r="J26" s="79" t="e">
        <f>SUM(#REF!)</f>
        <v>#REF!</v>
      </c>
      <c r="K26" s="79">
        <f>MS!N123</f>
        <v>22336.37</v>
      </c>
      <c r="L26" s="286">
        <f>K26/M26</f>
        <v>0.71620771475294187</v>
      </c>
      <c r="M26" s="79">
        <f>+'budget entry'!C156</f>
        <v>31187</v>
      </c>
      <c r="N26" s="79">
        <v>205000</v>
      </c>
    </row>
    <row r="27" spans="1:15" s="195" customFormat="1" ht="12.75" customHeight="1" x14ac:dyDescent="0.3">
      <c r="A27" s="51"/>
      <c r="B27" s="370"/>
      <c r="C27" s="370"/>
      <c r="D27" s="370"/>
      <c r="E27" s="464"/>
      <c r="F27" s="464"/>
      <c r="G27" s="464"/>
      <c r="H27" s="464"/>
      <c r="I27" s="464"/>
      <c r="J27" s="464"/>
      <c r="K27" s="464"/>
      <c r="L27" s="398"/>
      <c r="M27" s="464"/>
      <c r="N27" s="464"/>
    </row>
    <row r="28" spans="1:15" s="195" customFormat="1" x14ac:dyDescent="0.3">
      <c r="A28" s="51" t="s">
        <v>481</v>
      </c>
      <c r="B28" s="76">
        <v>89628</v>
      </c>
      <c r="C28" s="76">
        <v>30230.16</v>
      </c>
      <c r="D28" s="76">
        <v>29630.16</v>
      </c>
      <c r="E28" s="76">
        <v>29630.16</v>
      </c>
      <c r="F28" s="76"/>
      <c r="G28" s="76"/>
      <c r="H28" s="76"/>
      <c r="I28" s="76"/>
      <c r="J28" s="76"/>
      <c r="K28" s="79">
        <f>MS!N131</f>
        <v>59260.160000000003</v>
      </c>
      <c r="L28" s="286">
        <f>K28/M28</f>
        <v>9.3030078492935644</v>
      </c>
      <c r="M28" s="76">
        <f>+'budget entry'!C158</f>
        <v>6370</v>
      </c>
      <c r="N28" s="76" t="e">
        <f>MS!#REF!</f>
        <v>#REF!</v>
      </c>
    </row>
    <row r="29" spans="1:15" s="195" customFormat="1" x14ac:dyDescent="0.3">
      <c r="A29" s="51"/>
      <c r="B29" s="370"/>
      <c r="C29" s="370"/>
      <c r="D29" s="370"/>
      <c r="E29" s="370"/>
      <c r="F29" s="370"/>
      <c r="G29" s="370"/>
      <c r="H29" s="370"/>
      <c r="I29" s="370"/>
      <c r="J29" s="370"/>
      <c r="K29" s="370"/>
      <c r="L29" s="398"/>
      <c r="M29" s="370"/>
      <c r="N29" s="370"/>
    </row>
    <row r="30" spans="1:15" s="195" customFormat="1" x14ac:dyDescent="0.3">
      <c r="A30" s="51" t="s">
        <v>604</v>
      </c>
      <c r="B30" s="66">
        <v>5343</v>
      </c>
      <c r="C30" s="66">
        <v>10659.47</v>
      </c>
      <c r="D30" s="66">
        <v>595.24</v>
      </c>
      <c r="E30" s="66"/>
      <c r="F30" s="66"/>
      <c r="G30" s="66"/>
      <c r="H30" s="66"/>
      <c r="I30" s="66"/>
      <c r="J30" s="66"/>
      <c r="K30" s="79" t="e">
        <f>+MS!N136+MS!#REF!+MS!N137+MS!N138</f>
        <v>#REF!</v>
      </c>
      <c r="L30" s="286"/>
      <c r="M30" s="76">
        <f>+'budget entry'!C167</f>
        <v>0</v>
      </c>
      <c r="N30" s="76">
        <f>9000+117028+35000+80000</f>
        <v>241028</v>
      </c>
    </row>
    <row r="31" spans="1:15" x14ac:dyDescent="0.3">
      <c r="A31" s="57" t="s">
        <v>105</v>
      </c>
      <c r="B31" s="265"/>
      <c r="C31" s="265"/>
      <c r="D31" s="265"/>
      <c r="E31" s="265"/>
      <c r="F31" s="265"/>
      <c r="G31" s="265"/>
      <c r="H31" s="265"/>
      <c r="I31" s="265"/>
      <c r="J31" s="265"/>
      <c r="K31" s="372">
        <f>+MS!N133</f>
        <v>866.5</v>
      </c>
      <c r="L31" s="346"/>
      <c r="M31" s="422"/>
      <c r="N31" s="422"/>
    </row>
    <row r="32" spans="1:15" x14ac:dyDescent="0.3">
      <c r="A32" s="306" t="s">
        <v>50</v>
      </c>
      <c r="B32" s="314" t="e">
        <f t="shared" ref="B32:J32" si="0">+B28+B26+B24+B22+B20+B18+B16+B14+B12+B10+B30</f>
        <v>#REF!</v>
      </c>
      <c r="C32" s="314" t="e">
        <f t="shared" si="0"/>
        <v>#REF!</v>
      </c>
      <c r="D32" s="314" t="e">
        <f t="shared" si="0"/>
        <v>#REF!</v>
      </c>
      <c r="E32" s="314" t="e">
        <f t="shared" si="0"/>
        <v>#REF!</v>
      </c>
      <c r="F32" s="314" t="e">
        <f t="shared" si="0"/>
        <v>#REF!</v>
      </c>
      <c r="G32" s="314" t="e">
        <f t="shared" si="0"/>
        <v>#REF!</v>
      </c>
      <c r="H32" s="314" t="e">
        <f t="shared" si="0"/>
        <v>#REF!</v>
      </c>
      <c r="I32" s="314" t="e">
        <f t="shared" si="0"/>
        <v>#REF!</v>
      </c>
      <c r="J32" s="314" t="e">
        <f t="shared" si="0"/>
        <v>#REF!</v>
      </c>
      <c r="K32" s="314" t="e">
        <f>+K28+K26+K24+K22+K20+K18+K16+K14+K12+K10+K30+K31</f>
        <v>#REF!</v>
      </c>
      <c r="L32" s="286" t="e">
        <f>K32/M32</f>
        <v>#REF!</v>
      </c>
      <c r="M32" s="314">
        <f>+M28+M26+M24+M22+M20+M18+M16+M14+M12+M10+M30</f>
        <v>2376498.6274999999</v>
      </c>
      <c r="N32" s="314" t="e">
        <f>+N28+N26+N24+N22+N20+N18+N16+N14+N12+N10+N30</f>
        <v>#REF!</v>
      </c>
    </row>
    <row r="33" spans="1:14" x14ac:dyDescent="0.3">
      <c r="B33" s="265"/>
      <c r="C33" s="265"/>
      <c r="D33" s="265"/>
      <c r="E33" s="265"/>
      <c r="F33" s="265"/>
      <c r="G33" s="265"/>
      <c r="H33" s="265"/>
      <c r="I33" s="265"/>
      <c r="J33" s="265"/>
      <c r="K33" s="265"/>
      <c r="L33" s="346"/>
      <c r="M33" s="265"/>
      <c r="N33" s="265"/>
    </row>
    <row r="34" spans="1:14" ht="15" thickBot="1" x14ac:dyDescent="0.35">
      <c r="A34" s="306" t="s">
        <v>482</v>
      </c>
      <c r="B34" s="315" t="e">
        <f>B6-B32</f>
        <v>#REF!</v>
      </c>
      <c r="C34" s="315" t="e">
        <f t="shared" ref="C34:K34" si="1">+C6-C32</f>
        <v>#REF!</v>
      </c>
      <c r="D34" s="315" t="e">
        <f t="shared" si="1"/>
        <v>#REF!</v>
      </c>
      <c r="E34" s="315" t="e">
        <f t="shared" si="1"/>
        <v>#REF!</v>
      </c>
      <c r="F34" s="315" t="e">
        <f t="shared" si="1"/>
        <v>#REF!</v>
      </c>
      <c r="G34" s="315" t="e">
        <f t="shared" si="1"/>
        <v>#REF!</v>
      </c>
      <c r="H34" s="315" t="e">
        <f t="shared" si="1"/>
        <v>#REF!</v>
      </c>
      <c r="I34" s="315" t="e">
        <f t="shared" si="1"/>
        <v>#REF!</v>
      </c>
      <c r="J34" s="315" t="e">
        <f t="shared" si="1"/>
        <v>#REF!</v>
      </c>
      <c r="K34" s="315" t="e">
        <f t="shared" si="1"/>
        <v>#REF!</v>
      </c>
      <c r="L34" s="342"/>
      <c r="M34" s="315">
        <f>M6-M32</f>
        <v>-2376498.6274999999</v>
      </c>
      <c r="N34" s="315" t="e">
        <f>N6-N32</f>
        <v>#REF!</v>
      </c>
    </row>
    <row r="35" spans="1:14" ht="15" thickTop="1" x14ac:dyDescent="0.3">
      <c r="L35" s="344"/>
      <c r="M35" s="265"/>
      <c r="N35" s="265"/>
    </row>
    <row r="36" spans="1:14" x14ac:dyDescent="0.3">
      <c r="A36" s="62" t="s">
        <v>483</v>
      </c>
      <c r="B36" s="62"/>
      <c r="C36" s="62"/>
      <c r="D36" s="62"/>
      <c r="E36" s="62"/>
      <c r="F36" s="62"/>
      <c r="G36" s="62"/>
      <c r="H36" s="62"/>
      <c r="I36" s="62"/>
      <c r="J36" s="62"/>
      <c r="K36" s="62"/>
      <c r="L36" s="342"/>
      <c r="M36" s="257">
        <f>'budget entry'!C173</f>
        <v>0</v>
      </c>
      <c r="N36" s="257">
        <v>1851687</v>
      </c>
    </row>
    <row r="37" spans="1:14" ht="15" thickBot="1" x14ac:dyDescent="0.35">
      <c r="A37" s="62" t="s">
        <v>588</v>
      </c>
      <c r="B37" s="62"/>
      <c r="C37" s="62"/>
      <c r="D37" s="62"/>
      <c r="E37" s="62"/>
      <c r="F37" s="62"/>
      <c r="G37" s="62"/>
      <c r="H37" s="62"/>
      <c r="I37" s="62"/>
      <c r="J37" s="62"/>
      <c r="K37" s="62"/>
      <c r="L37" s="342"/>
      <c r="M37" s="266">
        <f>+M36+M34</f>
        <v>-2376498.6274999999</v>
      </c>
      <c r="N37" s="266" t="e">
        <f>+N36+N34</f>
        <v>#REF!</v>
      </c>
    </row>
    <row r="38" spans="1:14" ht="15" thickTop="1" x14ac:dyDescent="0.3">
      <c r="L38" s="344"/>
    </row>
    <row r="39" spans="1:14" x14ac:dyDescent="0.3">
      <c r="A39" s="62"/>
      <c r="B39" s="62"/>
      <c r="C39" s="62"/>
      <c r="D39" s="62"/>
      <c r="E39" s="62"/>
      <c r="F39" s="62"/>
      <c r="G39" s="62"/>
      <c r="H39" s="62"/>
      <c r="I39" s="62"/>
      <c r="J39" s="62"/>
      <c r="K39" s="62"/>
      <c r="L39" s="292"/>
    </row>
    <row r="41" spans="1:14" x14ac:dyDescent="0.3">
      <c r="A41" s="51"/>
      <c r="B41" s="51"/>
      <c r="C41" s="51"/>
      <c r="D41" s="51"/>
      <c r="E41" s="51"/>
      <c r="F41" s="51"/>
      <c r="G41" s="51"/>
      <c r="H41" s="51"/>
      <c r="I41" s="51"/>
      <c r="J41" s="51"/>
      <c r="K41" s="51"/>
      <c r="L41" s="293"/>
      <c r="M41" s="51"/>
      <c r="N41" s="51"/>
    </row>
    <row r="43" spans="1:14" x14ac:dyDescent="0.3">
      <c r="M43" s="268"/>
      <c r="N43" s="268"/>
    </row>
    <row r="44" spans="1:14" x14ac:dyDescent="0.3">
      <c r="M44" s="268"/>
      <c r="N44" s="268"/>
    </row>
    <row r="46" spans="1:14" x14ac:dyDescent="0.3">
      <c r="M46" s="268"/>
      <c r="N46" s="268"/>
    </row>
    <row r="47" spans="1:14" x14ac:dyDescent="0.3">
      <c r="M47" s="268"/>
      <c r="N47" s="268"/>
    </row>
    <row r="51" spans="1:14" x14ac:dyDescent="0.3">
      <c r="M51" s="262"/>
      <c r="N51" s="262"/>
    </row>
    <row r="52" spans="1:14" x14ac:dyDescent="0.3">
      <c r="M52" s="262"/>
      <c r="N52" s="262"/>
    </row>
    <row r="54" spans="1:14" x14ac:dyDescent="0.3">
      <c r="M54" s="122"/>
      <c r="N54" s="122"/>
    </row>
    <row r="56" spans="1:14" x14ac:dyDescent="0.3">
      <c r="A56" s="57" t="s">
        <v>15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selection activeCell="A17" sqref="A17"/>
    </sheetView>
  </sheetViews>
  <sheetFormatPr defaultRowHeight="14.4" x14ac:dyDescent="0.3"/>
  <cols>
    <col min="1" max="1" width="40.6640625" style="57" customWidth="1"/>
    <col min="2" max="2" width="14.109375" style="57" hidden="1" customWidth="1"/>
    <col min="3" max="10" width="11" style="57" hidden="1" customWidth="1"/>
    <col min="11" max="11" width="13.109375" style="57" customWidth="1"/>
    <col min="12" max="12" width="7.6640625" style="268" bestFit="1" customWidth="1"/>
    <col min="13" max="14" width="13.6640625" style="57" customWidth="1"/>
    <col min="15" max="15" width="22.33203125" customWidth="1"/>
  </cols>
  <sheetData>
    <row r="1" spans="1:15" x14ac:dyDescent="0.3">
      <c r="A1" s="272" t="s">
        <v>15</v>
      </c>
      <c r="B1" s="272"/>
      <c r="C1" s="272"/>
      <c r="D1" s="272"/>
      <c r="E1" s="272"/>
      <c r="F1" s="272"/>
      <c r="G1" s="272"/>
      <c r="H1" s="272"/>
      <c r="I1" s="272"/>
      <c r="J1" s="272"/>
      <c r="K1" s="272"/>
      <c r="L1" s="281"/>
      <c r="M1" s="273" t="s">
        <v>15</v>
      </c>
      <c r="N1" s="273" t="s">
        <v>15</v>
      </c>
    </row>
    <row r="2" spans="1:15" x14ac:dyDescent="0.3">
      <c r="A2" s="274"/>
      <c r="B2" s="274"/>
      <c r="C2" s="274"/>
      <c r="D2" s="274"/>
      <c r="E2" s="274"/>
      <c r="F2" s="274"/>
      <c r="G2" s="274"/>
      <c r="H2" s="274"/>
      <c r="I2" s="274"/>
      <c r="J2" s="274"/>
      <c r="K2" s="274"/>
      <c r="L2" s="282"/>
      <c r="M2" s="275" t="s">
        <v>15</v>
      </c>
      <c r="N2" s="275" t="s">
        <v>15</v>
      </c>
      <c r="O2" s="195"/>
    </row>
    <row r="3" spans="1:15" x14ac:dyDescent="0.3">
      <c r="A3" s="278" t="s">
        <v>495</v>
      </c>
      <c r="B3" s="276"/>
      <c r="C3" s="276"/>
      <c r="D3" s="276"/>
      <c r="E3" s="276"/>
      <c r="F3" s="276"/>
      <c r="G3" s="276"/>
      <c r="H3" s="276"/>
      <c r="I3" s="276"/>
      <c r="J3" s="276"/>
      <c r="K3" s="283" t="s">
        <v>15</v>
      </c>
      <c r="L3" s="283" t="s">
        <v>18</v>
      </c>
      <c r="M3" s="277">
        <v>8234</v>
      </c>
      <c r="N3" s="277">
        <v>8310</v>
      </c>
      <c r="O3" s="364"/>
    </row>
    <row r="4" spans="1:15" x14ac:dyDescent="0.3">
      <c r="A4" s="278" t="s">
        <v>496</v>
      </c>
      <c r="B4" s="278"/>
      <c r="C4" s="278"/>
      <c r="D4" s="278"/>
      <c r="E4" s="278"/>
      <c r="F4" s="278"/>
      <c r="G4" s="278"/>
      <c r="H4" s="278"/>
      <c r="I4" s="278"/>
      <c r="J4" s="278"/>
      <c r="K4" s="278" t="s">
        <v>15</v>
      </c>
      <c r="L4" s="283" t="s">
        <v>458</v>
      </c>
      <c r="M4" s="277">
        <v>404</v>
      </c>
      <c r="N4" s="277">
        <v>425</v>
      </c>
      <c r="O4" s="364"/>
    </row>
    <row r="5" spans="1:15" ht="32.4" customHeight="1" thickBot="1" x14ac:dyDescent="0.35">
      <c r="A5" s="360" t="str">
        <f>HS!A5</f>
        <v xml:space="preserve">August 31, 2019  </v>
      </c>
      <c r="B5" s="278" t="s">
        <v>549</v>
      </c>
      <c r="C5" s="273" t="s">
        <v>548</v>
      </c>
      <c r="D5" s="278" t="s">
        <v>558</v>
      </c>
      <c r="E5" s="278" t="s">
        <v>551</v>
      </c>
      <c r="F5" s="278" t="s">
        <v>553</v>
      </c>
      <c r="G5" s="278" t="s">
        <v>554</v>
      </c>
      <c r="H5" s="278" t="s">
        <v>555</v>
      </c>
      <c r="I5" s="278" t="s">
        <v>559</v>
      </c>
      <c r="J5" s="278" t="s">
        <v>557</v>
      </c>
      <c r="K5" s="278" t="s">
        <v>494</v>
      </c>
      <c r="L5" s="284">
        <f>HS!O5</f>
        <v>0.16666666666666666</v>
      </c>
      <c r="M5" s="452" t="s">
        <v>637</v>
      </c>
      <c r="N5" s="452" t="s">
        <v>640</v>
      </c>
    </row>
    <row r="6" spans="1:15" s="195" customFormat="1" x14ac:dyDescent="0.3">
      <c r="A6" s="363"/>
      <c r="B6" s="60"/>
      <c r="C6" s="60"/>
      <c r="D6" s="60"/>
      <c r="E6" s="60"/>
      <c r="F6" s="60"/>
      <c r="G6" s="60"/>
      <c r="H6" s="60"/>
      <c r="I6" s="60"/>
      <c r="J6" s="60"/>
      <c r="K6" s="51"/>
      <c r="L6" s="362"/>
      <c r="M6" s="354"/>
      <c r="N6" s="354"/>
    </row>
    <row r="7" spans="1:15" x14ac:dyDescent="0.3">
      <c r="A7" s="273" t="s">
        <v>493</v>
      </c>
      <c r="B7" s="273" t="e">
        <f>SUM(#REF!)</f>
        <v>#REF!</v>
      </c>
      <c r="C7" s="273" t="e">
        <f>SUM(#REF!)</f>
        <v>#REF!</v>
      </c>
      <c r="D7" s="273" t="e">
        <f>SUM(#REF!)</f>
        <v>#REF!</v>
      </c>
      <c r="E7" s="273" t="e">
        <f>SUM(#REF!)</f>
        <v>#REF!</v>
      </c>
      <c r="F7" s="273" t="e">
        <f>SUM(#REF!)</f>
        <v>#REF!</v>
      </c>
      <c r="G7" s="273" t="e">
        <f>SUM(#REF!)</f>
        <v>#REF!</v>
      </c>
      <c r="H7" s="273" t="e">
        <f>SUM(#REF!)</f>
        <v>#REF!</v>
      </c>
      <c r="I7" s="273" t="e">
        <f>SUM(#REF!)</f>
        <v>#REF!</v>
      </c>
      <c r="J7" s="273" t="e">
        <f>SUM(#REF!)</f>
        <v>#REF!</v>
      </c>
      <c r="K7" s="273">
        <f>+HS!N23</f>
        <v>746951.59</v>
      </c>
      <c r="L7" s="287" t="e">
        <f>K7/M7</f>
        <v>#VALUE!</v>
      </c>
      <c r="M7" s="273" t="str">
        <f>+'budget entry'!B28</f>
        <v xml:space="preserve"> </v>
      </c>
      <c r="N7" s="273">
        <v>3691537</v>
      </c>
    </row>
    <row r="8" spans="1:15" x14ac:dyDescent="0.3">
      <c r="B8" s="259"/>
      <c r="C8" s="259"/>
      <c r="D8" s="259"/>
      <c r="E8" s="259"/>
      <c r="F8" s="259"/>
      <c r="G8" s="259"/>
      <c r="H8" s="259"/>
      <c r="I8" s="259"/>
      <c r="J8" s="259"/>
      <c r="K8" s="259"/>
      <c r="L8" s="288"/>
      <c r="M8" s="259"/>
      <c r="N8" s="259"/>
    </row>
    <row r="9" spans="1:15" ht="15" thickBot="1" x14ac:dyDescent="0.35">
      <c r="A9" s="54" t="s">
        <v>463</v>
      </c>
      <c r="B9" s="378"/>
      <c r="C9" s="378"/>
      <c r="D9" s="378"/>
      <c r="E9" s="378"/>
      <c r="F9" s="378"/>
      <c r="G9" s="378"/>
      <c r="H9" s="378"/>
      <c r="I9" s="378"/>
      <c r="J9" s="378"/>
      <c r="K9" s="378"/>
      <c r="L9" s="343"/>
      <c r="M9" s="378"/>
      <c r="N9" s="378"/>
      <c r="O9" s="195"/>
    </row>
    <row r="10" spans="1:15" ht="11.25" customHeight="1" x14ac:dyDescent="0.3">
      <c r="A10" s="55"/>
      <c r="B10" s="378"/>
      <c r="C10" s="378"/>
      <c r="D10" s="378"/>
      <c r="E10" s="378"/>
      <c r="F10" s="378"/>
      <c r="G10" s="378"/>
      <c r="H10" s="378"/>
      <c r="I10" s="378"/>
      <c r="J10" s="378"/>
      <c r="K10" s="378"/>
      <c r="L10" s="343"/>
      <c r="M10" s="378"/>
      <c r="N10" s="378"/>
      <c r="O10" s="195"/>
    </row>
    <row r="11" spans="1:15" x14ac:dyDescent="0.3">
      <c r="A11" s="58" t="s">
        <v>30</v>
      </c>
      <c r="B11" s="51" t="e">
        <f>SUM(#REF!)</f>
        <v>#REF!</v>
      </c>
      <c r="C11" s="51" t="e">
        <f>SUM(#REF!)</f>
        <v>#REF!</v>
      </c>
      <c r="D11" s="51" t="e">
        <f>SUM(#REF!)</f>
        <v>#REF!</v>
      </c>
      <c r="E11" s="51" t="e">
        <f>SUM(#REF!)</f>
        <v>#REF!</v>
      </c>
      <c r="F11" s="51" t="e">
        <f>SUM(#REF!)</f>
        <v>#REF!</v>
      </c>
      <c r="G11" s="51" t="e">
        <f>SUM(#REF!)</f>
        <v>#REF!</v>
      </c>
      <c r="H11" s="51" t="e">
        <f>SUM(#REF!)</f>
        <v>#REF!</v>
      </c>
      <c r="I11" s="51" t="e">
        <f>SUM(#REF!)</f>
        <v>#REF!</v>
      </c>
      <c r="J11" s="51" t="e">
        <f>SUM(#REF!)</f>
        <v>#REF!</v>
      </c>
      <c r="K11" s="51">
        <f>HS!N38</f>
        <v>282219.63000000006</v>
      </c>
      <c r="L11" s="286">
        <f>K11/M11</f>
        <v>0.1394496529023696</v>
      </c>
      <c r="M11" s="51">
        <f>+'budget entry'!B52</f>
        <v>2023810.2005</v>
      </c>
      <c r="N11" s="51">
        <v>1874132</v>
      </c>
      <c r="O11" s="197"/>
    </row>
    <row r="12" spans="1:15" ht="9" customHeight="1" x14ac:dyDescent="0.3">
      <c r="A12" s="51"/>
      <c r="B12" s="76"/>
      <c r="C12" s="76"/>
      <c r="D12" s="76"/>
      <c r="E12" s="76"/>
      <c r="F12" s="76"/>
      <c r="G12" s="76"/>
      <c r="H12" s="76"/>
      <c r="I12" s="76"/>
      <c r="J12" s="76"/>
      <c r="K12" s="76"/>
      <c r="L12" s="344"/>
      <c r="M12" s="76"/>
      <c r="N12" s="76"/>
      <c r="O12" s="349"/>
    </row>
    <row r="13" spans="1:15" x14ac:dyDescent="0.3">
      <c r="A13" s="58" t="s">
        <v>35</v>
      </c>
      <c r="B13" s="51" t="e">
        <f>SUM(#REF!)</f>
        <v>#REF!</v>
      </c>
      <c r="C13" s="51" t="e">
        <f>SUM(#REF!)</f>
        <v>#REF!</v>
      </c>
      <c r="D13" s="51" t="e">
        <f>SUM(#REF!)</f>
        <v>#REF!</v>
      </c>
      <c r="E13" s="51" t="e">
        <f>SUM(#REF!)</f>
        <v>#REF!</v>
      </c>
      <c r="F13" s="51" t="e">
        <f>SUM(#REF!)</f>
        <v>#REF!</v>
      </c>
      <c r="G13" s="51" t="e">
        <f>SUM(#REF!)</f>
        <v>#REF!</v>
      </c>
      <c r="H13" s="51" t="e">
        <f>SUM(#REF!)</f>
        <v>#REF!</v>
      </c>
      <c r="I13" s="51" t="e">
        <f>SUM(#REF!)</f>
        <v>#REF!</v>
      </c>
      <c r="J13" s="51" t="e">
        <f>SUM(#REF!)</f>
        <v>#REF!</v>
      </c>
      <c r="K13" s="51">
        <f>HS!N49</f>
        <v>102880.95999999999</v>
      </c>
      <c r="L13" s="286" t="e">
        <f>K13/M13</f>
        <v>#DIV/0!</v>
      </c>
      <c r="M13" s="51">
        <f>+'budget entry'!B68</f>
        <v>0</v>
      </c>
      <c r="N13" s="51">
        <v>391596</v>
      </c>
      <c r="O13" s="197"/>
    </row>
    <row r="14" spans="1:15" ht="9" customHeight="1" x14ac:dyDescent="0.3">
      <c r="A14" s="51"/>
      <c r="B14" s="76"/>
      <c r="C14" s="76"/>
      <c r="D14" s="76"/>
      <c r="E14" s="76"/>
      <c r="F14" s="76"/>
      <c r="G14" s="76"/>
      <c r="H14" s="76"/>
      <c r="I14" s="76"/>
      <c r="J14" s="76"/>
      <c r="K14" s="76"/>
      <c r="L14" s="344"/>
      <c r="M14" s="76"/>
      <c r="N14" s="76"/>
      <c r="O14" s="349"/>
    </row>
    <row r="15" spans="1:15" x14ac:dyDescent="0.3">
      <c r="A15" s="58" t="s">
        <v>126</v>
      </c>
      <c r="B15" s="51" t="e">
        <f>SUM(#REF!)</f>
        <v>#REF!</v>
      </c>
      <c r="C15" s="51" t="e">
        <f>SUM(#REF!)</f>
        <v>#REF!</v>
      </c>
      <c r="D15" s="51" t="e">
        <f>SUM(#REF!)</f>
        <v>#REF!</v>
      </c>
      <c r="E15" s="51" t="e">
        <f>SUM(#REF!)</f>
        <v>#REF!</v>
      </c>
      <c r="F15" s="51" t="e">
        <f>SUM(#REF!)</f>
        <v>#REF!</v>
      </c>
      <c r="G15" s="51" t="e">
        <f>SUM(#REF!)</f>
        <v>#REF!</v>
      </c>
      <c r="H15" s="51" t="e">
        <f>SUM(#REF!)</f>
        <v>#REF!</v>
      </c>
      <c r="I15" s="51" t="e">
        <f>SUM(#REF!)</f>
        <v>#REF!</v>
      </c>
      <c r="J15" s="51" t="e">
        <f>SUM(#REF!)</f>
        <v>#REF!</v>
      </c>
      <c r="K15" s="51">
        <f>HS!N59</f>
        <v>21094.739999999998</v>
      </c>
      <c r="L15" s="286" t="e">
        <f>K15/M15</f>
        <v>#DIV/0!</v>
      </c>
      <c r="M15" s="51">
        <f>+'budget entry'!B80</f>
        <v>0</v>
      </c>
      <c r="N15" s="51">
        <v>101100</v>
      </c>
      <c r="O15" s="197"/>
    </row>
    <row r="16" spans="1:15" ht="9" customHeight="1" x14ac:dyDescent="0.3">
      <c r="A16" s="51"/>
      <c r="B16" s="76"/>
      <c r="C16" s="76"/>
      <c r="D16" s="76"/>
      <c r="E16" s="76"/>
      <c r="F16" s="76"/>
      <c r="G16" s="76"/>
      <c r="H16" s="76"/>
      <c r="I16" s="76"/>
      <c r="J16" s="76"/>
      <c r="K16" s="76"/>
      <c r="L16" s="344"/>
      <c r="M16" s="76"/>
      <c r="N16" s="76"/>
      <c r="O16" s="349"/>
    </row>
    <row r="17" spans="1:15" x14ac:dyDescent="0.3">
      <c r="A17" s="51" t="s">
        <v>578</v>
      </c>
      <c r="B17" s="51" t="e">
        <f>SUM(#REF!)</f>
        <v>#REF!</v>
      </c>
      <c r="C17" s="51" t="e">
        <f>SUM(#REF!)</f>
        <v>#REF!</v>
      </c>
      <c r="D17" s="51" t="e">
        <f>SUM(#REF!)</f>
        <v>#REF!</v>
      </c>
      <c r="E17" s="51" t="e">
        <f>SUM(#REF!)</f>
        <v>#REF!</v>
      </c>
      <c r="F17" s="51" t="e">
        <f>SUM(#REF!)</f>
        <v>#REF!</v>
      </c>
      <c r="G17" s="51" t="e">
        <f>SUM(#REF!)</f>
        <v>#REF!</v>
      </c>
      <c r="H17" s="51" t="e">
        <f>SUM(#REF!)</f>
        <v>#REF!</v>
      </c>
      <c r="I17" s="51" t="e">
        <f>SUM(#REF!)</f>
        <v>#REF!</v>
      </c>
      <c r="J17" s="51" t="e">
        <f>SUM(#REF!)</f>
        <v>#REF!</v>
      </c>
      <c r="K17" s="51">
        <f>HS!N72</f>
        <v>30268.3</v>
      </c>
      <c r="L17" s="286" t="e">
        <f>K17/M17</f>
        <v>#DIV/0!</v>
      </c>
      <c r="M17" s="51">
        <f>+'budget entry'!B95</f>
        <v>0</v>
      </c>
      <c r="N17" s="51">
        <v>232836</v>
      </c>
      <c r="O17" s="197"/>
    </row>
    <row r="18" spans="1:15" ht="9" customHeight="1" x14ac:dyDescent="0.3">
      <c r="A18" s="51"/>
      <c r="B18" s="76"/>
      <c r="C18" s="76"/>
      <c r="D18" s="76"/>
      <c r="E18" s="76"/>
      <c r="F18" s="76"/>
      <c r="G18" s="76"/>
      <c r="H18" s="76"/>
      <c r="I18" s="76"/>
      <c r="J18" s="76"/>
      <c r="K18" s="76"/>
      <c r="L18" s="344"/>
      <c r="M18" s="76"/>
      <c r="N18" s="76"/>
      <c r="O18" s="349"/>
    </row>
    <row r="19" spans="1:15" x14ac:dyDescent="0.3">
      <c r="A19" s="58" t="s">
        <v>20</v>
      </c>
      <c r="B19" s="51" t="e">
        <f>SUM(#REF!)</f>
        <v>#REF!</v>
      </c>
      <c r="C19" s="51" t="e">
        <f>SUM(#REF!)</f>
        <v>#REF!</v>
      </c>
      <c r="D19" s="51" t="e">
        <f>SUM(#REF!)</f>
        <v>#REF!</v>
      </c>
      <c r="E19" s="51" t="e">
        <f>SUM(#REF!)</f>
        <v>#REF!</v>
      </c>
      <c r="F19" s="51" t="e">
        <f>SUM(#REF!)</f>
        <v>#REF!</v>
      </c>
      <c r="G19" s="51" t="e">
        <f>SUM(#REF!)</f>
        <v>#REF!</v>
      </c>
      <c r="H19" s="51" t="e">
        <f>SUM(#REF!)</f>
        <v>#REF!</v>
      </c>
      <c r="I19" s="51" t="e">
        <f>SUM(#REF!)</f>
        <v>#REF!</v>
      </c>
      <c r="J19" s="51" t="e">
        <f>SUM(#REF!)</f>
        <v>#REF!</v>
      </c>
      <c r="K19" s="51">
        <f>HS!N82</f>
        <v>44414.1</v>
      </c>
      <c r="L19" s="286" t="e">
        <f>K19/M19</f>
        <v>#DIV/0!</v>
      </c>
      <c r="M19" s="51">
        <f>+'budget entry'!B107</f>
        <v>0</v>
      </c>
      <c r="N19" s="51">
        <v>326865</v>
      </c>
      <c r="O19" s="197"/>
    </row>
    <row r="20" spans="1:15" ht="9" customHeight="1" x14ac:dyDescent="0.3">
      <c r="A20" s="51"/>
      <c r="B20" s="76"/>
      <c r="C20" s="76"/>
      <c r="D20" s="76"/>
      <c r="E20" s="76"/>
      <c r="F20" s="76"/>
      <c r="G20" s="76"/>
      <c r="H20" s="76"/>
      <c r="I20" s="76"/>
      <c r="J20" s="76"/>
      <c r="K20" s="76"/>
      <c r="L20" s="344"/>
      <c r="M20" s="76"/>
      <c r="N20" s="76"/>
      <c r="O20" s="349"/>
    </row>
    <row r="21" spans="1:15" x14ac:dyDescent="0.3">
      <c r="A21" s="58" t="s">
        <v>131</v>
      </c>
      <c r="B21" s="78" t="e">
        <f>SUM(#REF!)</f>
        <v>#REF!</v>
      </c>
      <c r="C21" s="78" t="e">
        <f>SUM(#REF!)</f>
        <v>#REF!</v>
      </c>
      <c r="D21" s="78" t="e">
        <f>SUM(#REF!)</f>
        <v>#REF!</v>
      </c>
      <c r="E21" s="78" t="e">
        <f>SUM(#REF!)</f>
        <v>#REF!</v>
      </c>
      <c r="F21" s="78" t="e">
        <f>SUM(#REF!)</f>
        <v>#REF!</v>
      </c>
      <c r="G21" s="78" t="e">
        <f>SUM(#REF!)</f>
        <v>#REF!</v>
      </c>
      <c r="H21" s="78" t="e">
        <f>SUM(#REF!)</f>
        <v>#REF!</v>
      </c>
      <c r="I21" s="78" t="e">
        <f>SUM(#REF!)</f>
        <v>#REF!</v>
      </c>
      <c r="J21" s="78" t="e">
        <f>SUM(#REF!)</f>
        <v>#REF!</v>
      </c>
      <c r="K21" s="78">
        <f>HS!N94</f>
        <v>11903.7</v>
      </c>
      <c r="L21" s="286" t="e">
        <f>K21/M21</f>
        <v>#DIV/0!</v>
      </c>
      <c r="M21" s="78">
        <f>+'budget entry'!B122</f>
        <v>0</v>
      </c>
      <c r="N21" s="78">
        <v>112588</v>
      </c>
      <c r="O21" s="197"/>
    </row>
    <row r="22" spans="1:15" ht="9" customHeight="1" x14ac:dyDescent="0.3">
      <c r="A22" s="51"/>
      <c r="B22" s="76"/>
      <c r="C22" s="76"/>
      <c r="D22" s="76"/>
      <c r="E22" s="76"/>
      <c r="F22" s="76"/>
      <c r="G22" s="76"/>
      <c r="H22" s="76"/>
      <c r="I22" s="76"/>
      <c r="J22" s="76"/>
      <c r="K22" s="76"/>
      <c r="L22" s="344"/>
      <c r="M22" s="76"/>
      <c r="N22" s="76"/>
      <c r="O22" s="349"/>
    </row>
    <row r="23" spans="1:15" x14ac:dyDescent="0.3">
      <c r="A23" s="78" t="s">
        <v>577</v>
      </c>
      <c r="B23" s="78" t="e">
        <f>SUM(#REF!)</f>
        <v>#REF!</v>
      </c>
      <c r="C23" s="78" t="e">
        <f>SUM(#REF!)</f>
        <v>#REF!</v>
      </c>
      <c r="D23" s="78" t="e">
        <f>SUM(#REF!)</f>
        <v>#REF!</v>
      </c>
      <c r="E23" s="78" t="e">
        <f>SUM(#REF!)</f>
        <v>#REF!</v>
      </c>
      <c r="F23" s="78" t="e">
        <f>SUM(#REF!)</f>
        <v>#REF!</v>
      </c>
      <c r="G23" s="78" t="e">
        <f>SUM(#REF!)</f>
        <v>#REF!</v>
      </c>
      <c r="H23" s="78" t="e">
        <f>SUM(#REF!)</f>
        <v>#REF!</v>
      </c>
      <c r="I23" s="78" t="e">
        <f>SUM(#REF!)</f>
        <v>#REF!</v>
      </c>
      <c r="J23" s="78" t="e">
        <f>SUM(#REF!)</f>
        <v>#REF!</v>
      </c>
      <c r="K23" s="78">
        <f>HS!N107</f>
        <v>37795.31</v>
      </c>
      <c r="L23" s="286">
        <f>K23/M23</f>
        <v>3.0236247999999999</v>
      </c>
      <c r="M23" s="78">
        <f>+'budget entry'!B138</f>
        <v>12500</v>
      </c>
      <c r="N23" s="78">
        <v>291100</v>
      </c>
      <c r="O23" s="197"/>
    </row>
    <row r="24" spans="1:15" ht="9" customHeight="1" x14ac:dyDescent="0.3">
      <c r="A24" s="51"/>
      <c r="B24" s="76"/>
      <c r="C24" s="76"/>
      <c r="D24" s="76"/>
      <c r="E24" s="76"/>
      <c r="F24" s="76"/>
      <c r="G24" s="76"/>
      <c r="H24" s="76"/>
      <c r="I24" s="76"/>
      <c r="J24" s="76"/>
      <c r="K24" s="76"/>
      <c r="L24" s="344"/>
      <c r="M24" s="76"/>
      <c r="N24" s="76"/>
      <c r="O24" s="349"/>
    </row>
    <row r="25" spans="1:15" x14ac:dyDescent="0.3">
      <c r="A25" s="58" t="s">
        <v>236</v>
      </c>
      <c r="B25" s="64" t="e">
        <f>SUM(#REF!)</f>
        <v>#REF!</v>
      </c>
      <c r="C25" s="64" t="e">
        <f>SUM(#REF!)</f>
        <v>#REF!</v>
      </c>
      <c r="D25" s="64" t="e">
        <f>SUM(#REF!)</f>
        <v>#REF!</v>
      </c>
      <c r="E25" s="64" t="e">
        <f>SUM(#REF!)</f>
        <v>#REF!</v>
      </c>
      <c r="F25" s="64" t="e">
        <f>SUM(#REF!)</f>
        <v>#REF!</v>
      </c>
      <c r="G25" s="64" t="e">
        <f>SUM(#REF!)</f>
        <v>#REF!</v>
      </c>
      <c r="H25" s="64" t="e">
        <f>SUM(#REF!)</f>
        <v>#REF!</v>
      </c>
      <c r="I25" s="64" t="e">
        <f>SUM(#REF!)</f>
        <v>#REF!</v>
      </c>
      <c r="J25" s="64" t="e">
        <f>SUM(#REF!)</f>
        <v>#REF!</v>
      </c>
      <c r="K25" s="64">
        <f>HS!N114</f>
        <v>1582.7199999999998</v>
      </c>
      <c r="L25" s="286">
        <f>K25/M25</f>
        <v>3.1654399999999999E-2</v>
      </c>
      <c r="M25" s="64">
        <f>+'budget entry'!B146</f>
        <v>50000</v>
      </c>
      <c r="N25" s="64">
        <v>23150</v>
      </c>
      <c r="O25" s="197"/>
    </row>
    <row r="26" spans="1:15" ht="9" customHeight="1" x14ac:dyDescent="0.3">
      <c r="A26" s="51"/>
      <c r="B26" s="76"/>
      <c r="C26" s="76"/>
      <c r="D26" s="76"/>
      <c r="E26" s="76"/>
      <c r="F26" s="76"/>
      <c r="G26" s="76"/>
      <c r="H26" s="76"/>
      <c r="I26" s="76"/>
      <c r="J26" s="76"/>
      <c r="K26" s="76"/>
      <c r="L26" s="344"/>
      <c r="M26" s="76"/>
      <c r="N26" s="76"/>
      <c r="O26" s="349"/>
    </row>
    <row r="27" spans="1:15" x14ac:dyDescent="0.3">
      <c r="A27" s="78" t="s">
        <v>542</v>
      </c>
      <c r="B27" s="79" t="e">
        <f>SUM(#REF!)</f>
        <v>#REF!</v>
      </c>
      <c r="C27" s="79" t="e">
        <f>SUM(#REF!)</f>
        <v>#REF!</v>
      </c>
      <c r="D27" s="79" t="e">
        <f>SUM(#REF!)</f>
        <v>#REF!</v>
      </c>
      <c r="E27" s="79" t="e">
        <f>SUM(#REF!)</f>
        <v>#REF!</v>
      </c>
      <c r="F27" s="79" t="e">
        <f>SUM(#REF!)</f>
        <v>#REF!</v>
      </c>
      <c r="G27" s="79" t="e">
        <f>SUM(#REF!)</f>
        <v>#REF!</v>
      </c>
      <c r="H27" s="79" t="e">
        <f>SUM(#REF!)</f>
        <v>#REF!</v>
      </c>
      <c r="I27" s="79" t="e">
        <f>SUM(#REF!)</f>
        <v>#REF!</v>
      </c>
      <c r="J27" s="79" t="e">
        <f>SUM(#REF!)</f>
        <v>#REF!</v>
      </c>
      <c r="K27" s="79">
        <f>HS!N124</f>
        <v>22204.739999999994</v>
      </c>
      <c r="L27" s="286">
        <f>K27/M27</f>
        <v>0.71198704588450301</v>
      </c>
      <c r="M27" s="79">
        <f>+'budget entry'!B156</f>
        <v>31187</v>
      </c>
      <c r="N27" s="79">
        <v>172000</v>
      </c>
      <c r="O27" s="349"/>
    </row>
    <row r="28" spans="1:15" ht="9" customHeight="1" x14ac:dyDescent="0.3">
      <c r="A28" s="51"/>
      <c r="B28" s="76"/>
      <c r="C28" s="76"/>
      <c r="D28" s="76"/>
      <c r="E28" s="76"/>
      <c r="F28" s="76"/>
      <c r="G28" s="76"/>
      <c r="H28" s="76"/>
      <c r="I28" s="76"/>
      <c r="J28" s="76"/>
      <c r="K28" s="76"/>
      <c r="L28" s="344"/>
      <c r="M28" s="76"/>
      <c r="N28" s="76"/>
      <c r="O28" s="349"/>
    </row>
    <row r="29" spans="1:15" x14ac:dyDescent="0.3">
      <c r="A29" s="51" t="s">
        <v>481</v>
      </c>
      <c r="B29" s="76">
        <v>86330</v>
      </c>
      <c r="C29" s="76">
        <v>29132.75</v>
      </c>
      <c r="D29" s="76">
        <v>28532.75</v>
      </c>
      <c r="E29" s="76">
        <v>28532.75</v>
      </c>
      <c r="F29" s="76"/>
      <c r="G29" s="76"/>
      <c r="H29" s="76"/>
      <c r="I29" s="76"/>
      <c r="J29" s="76"/>
      <c r="K29" s="79">
        <f>HS!N132</f>
        <v>57065.5</v>
      </c>
      <c r="L29" s="286">
        <f>K29/M29</f>
        <v>8.9584772370486654</v>
      </c>
      <c r="M29" s="76">
        <f>+'budget entry'!B158</f>
        <v>6370</v>
      </c>
      <c r="N29" s="76" t="e">
        <f>HS!#REF!</f>
        <v>#REF!</v>
      </c>
      <c r="O29" s="349"/>
    </row>
    <row r="30" spans="1:15" ht="9" customHeight="1" x14ac:dyDescent="0.3">
      <c r="A30" s="51"/>
      <c r="B30" s="76"/>
      <c r="C30" s="76"/>
      <c r="D30" s="76"/>
      <c r="E30" s="76"/>
      <c r="F30" s="76"/>
      <c r="G30" s="76"/>
      <c r="H30" s="76"/>
      <c r="I30" s="76"/>
      <c r="J30" s="76"/>
      <c r="K30" s="76"/>
      <c r="L30" s="344"/>
      <c r="M30" s="76"/>
      <c r="N30" s="76"/>
      <c r="O30" s="349"/>
    </row>
    <row r="31" spans="1:15" x14ac:dyDescent="0.3">
      <c r="A31" s="51" t="s">
        <v>604</v>
      </c>
      <c r="B31" s="66">
        <v>3077</v>
      </c>
      <c r="C31" s="66">
        <v>5386.99</v>
      </c>
      <c r="D31" s="66">
        <v>2428.19</v>
      </c>
      <c r="E31" s="66">
        <v>2328.64</v>
      </c>
      <c r="F31" s="66"/>
      <c r="G31" s="66"/>
      <c r="H31" s="66"/>
      <c r="I31" s="66"/>
      <c r="J31" s="66"/>
      <c r="K31" s="79" t="e">
        <f>+HS!N137+HS!#REF!+HS!N138+HS!#REF!</f>
        <v>#REF!</v>
      </c>
      <c r="L31" s="286" t="e">
        <f>K31/M31</f>
        <v>#REF!</v>
      </c>
      <c r="M31" s="76">
        <f>+'budget entry'!B162+'budget entry'!B163+'budget entry'!B164+'budget entry'!B165+'budget entry'!B166</f>
        <v>4492171.4483000003</v>
      </c>
      <c r="N31" s="76">
        <v>139000</v>
      </c>
      <c r="O31" s="349"/>
    </row>
    <row r="32" spans="1:15" ht="15.75" customHeight="1" x14ac:dyDescent="0.3">
      <c r="A32" s="51" t="s">
        <v>105</v>
      </c>
      <c r="B32" s="375"/>
      <c r="C32" s="375"/>
      <c r="D32" s="375"/>
      <c r="E32" s="375"/>
      <c r="F32" s="375"/>
      <c r="G32" s="375"/>
      <c r="H32" s="375"/>
      <c r="I32" s="375"/>
      <c r="J32" s="375"/>
      <c r="K32" s="66">
        <f>+HS!N134</f>
        <v>2330.12</v>
      </c>
      <c r="L32" s="346"/>
      <c r="M32" s="433"/>
      <c r="N32" s="433"/>
      <c r="O32" s="374"/>
    </row>
    <row r="33" spans="1:15" x14ac:dyDescent="0.3">
      <c r="A33" s="273" t="s">
        <v>50</v>
      </c>
      <c r="B33" s="279" t="e">
        <f t="shared" ref="B33:J33" si="0">+B29+B27+B25+B23+B21+B19+B17+B15+B13+B11+B31</f>
        <v>#REF!</v>
      </c>
      <c r="C33" s="279" t="e">
        <f t="shared" si="0"/>
        <v>#REF!</v>
      </c>
      <c r="D33" s="279" t="e">
        <f t="shared" si="0"/>
        <v>#REF!</v>
      </c>
      <c r="E33" s="279" t="e">
        <f t="shared" si="0"/>
        <v>#REF!</v>
      </c>
      <c r="F33" s="279" t="e">
        <f t="shared" si="0"/>
        <v>#REF!</v>
      </c>
      <c r="G33" s="279" t="e">
        <f t="shared" si="0"/>
        <v>#REF!</v>
      </c>
      <c r="H33" s="279" t="e">
        <f t="shared" si="0"/>
        <v>#REF!</v>
      </c>
      <c r="I33" s="279" t="e">
        <f t="shared" si="0"/>
        <v>#REF!</v>
      </c>
      <c r="J33" s="279" t="e">
        <f t="shared" si="0"/>
        <v>#REF!</v>
      </c>
      <c r="K33" s="279" t="e">
        <f>+K29+K27+K25+K23+K21+K19+K17+K15+K13+K11+K31+K32</f>
        <v>#REF!</v>
      </c>
      <c r="L33" s="286" t="e">
        <f>K33/M33</f>
        <v>#REF!</v>
      </c>
      <c r="M33" s="279">
        <f>+M29+M27+M25+M23+M21+M19+M17+M15+M13+M11+M31</f>
        <v>6616038.6488000005</v>
      </c>
      <c r="N33" s="279" t="e">
        <f>+N29+N27+N25+N23+N21+N19+N17+N15+N13+N11+N31</f>
        <v>#REF!</v>
      </c>
    </row>
    <row r="34" spans="1:15" ht="9" customHeight="1" x14ac:dyDescent="0.3">
      <c r="A34" s="51"/>
      <c r="B34" s="375"/>
      <c r="C34" s="375"/>
      <c r="D34" s="375"/>
      <c r="E34" s="375"/>
      <c r="F34" s="375"/>
      <c r="G34" s="375"/>
      <c r="H34" s="375"/>
      <c r="I34" s="375"/>
      <c r="J34" s="375"/>
      <c r="K34" s="375"/>
      <c r="L34" s="346"/>
      <c r="M34" s="375"/>
      <c r="N34" s="375"/>
      <c r="O34" s="374"/>
    </row>
    <row r="35" spans="1:15" ht="15" thickBot="1" x14ac:dyDescent="0.35">
      <c r="A35" s="273" t="s">
        <v>482</v>
      </c>
      <c r="B35" s="280" t="e">
        <f>B7-B33</f>
        <v>#REF!</v>
      </c>
      <c r="C35" s="280" t="e">
        <f t="shared" ref="C35:K35" si="1">+C7-C33</f>
        <v>#REF!</v>
      </c>
      <c r="D35" s="280" t="e">
        <f t="shared" si="1"/>
        <v>#REF!</v>
      </c>
      <c r="E35" s="280" t="e">
        <f t="shared" si="1"/>
        <v>#REF!</v>
      </c>
      <c r="F35" s="280" t="e">
        <f t="shared" si="1"/>
        <v>#REF!</v>
      </c>
      <c r="G35" s="280" t="e">
        <f t="shared" si="1"/>
        <v>#REF!</v>
      </c>
      <c r="H35" s="280" t="e">
        <f t="shared" si="1"/>
        <v>#REF!</v>
      </c>
      <c r="I35" s="280" t="e">
        <f t="shared" si="1"/>
        <v>#REF!</v>
      </c>
      <c r="J35" s="280" t="e">
        <f t="shared" si="1"/>
        <v>#REF!</v>
      </c>
      <c r="K35" s="280" t="e">
        <f t="shared" si="1"/>
        <v>#REF!</v>
      </c>
      <c r="L35" s="291"/>
      <c r="M35" s="280" t="e">
        <f>M7-M33</f>
        <v>#VALUE!</v>
      </c>
      <c r="N35" s="280" t="e">
        <f>N7-N33</f>
        <v>#REF!</v>
      </c>
    </row>
    <row r="36" spans="1:15" ht="15" thickTop="1" x14ac:dyDescent="0.3">
      <c r="M36" s="265"/>
      <c r="N36" s="265"/>
    </row>
    <row r="37" spans="1:15" x14ac:dyDescent="0.3">
      <c r="A37" s="62" t="s">
        <v>483</v>
      </c>
      <c r="B37" s="62"/>
      <c r="C37" s="62"/>
      <c r="D37" s="62"/>
      <c r="E37" s="62"/>
      <c r="F37" s="62"/>
      <c r="G37" s="62"/>
      <c r="H37" s="62"/>
      <c r="I37" s="62"/>
      <c r="J37" s="62"/>
      <c r="K37" s="62"/>
      <c r="L37" s="292"/>
      <c r="M37" s="257">
        <f>'budget entry'!B173</f>
        <v>0</v>
      </c>
      <c r="N37" s="257">
        <v>1543235</v>
      </c>
    </row>
    <row r="38" spans="1:15" ht="15" thickBot="1" x14ac:dyDescent="0.35">
      <c r="A38" s="62" t="s">
        <v>588</v>
      </c>
      <c r="B38" s="62"/>
      <c r="C38" s="62"/>
      <c r="D38" s="62"/>
      <c r="E38" s="62"/>
      <c r="F38" s="62"/>
      <c r="G38" s="62"/>
      <c r="H38" s="62"/>
      <c r="I38" s="62"/>
      <c r="J38" s="62"/>
      <c r="K38" s="62"/>
      <c r="L38" s="292"/>
      <c r="M38" s="266" t="e">
        <f>+M37+M35</f>
        <v>#VALUE!</v>
      </c>
      <c r="N38" s="266" t="e">
        <f>+N37+N35</f>
        <v>#REF!</v>
      </c>
    </row>
    <row r="39" spans="1:15" ht="15" thickTop="1" x14ac:dyDescent="0.3"/>
    <row r="41" spans="1:15" x14ac:dyDescent="0.3">
      <c r="A41" s="51"/>
      <c r="B41" s="51"/>
      <c r="C41" s="51"/>
      <c r="D41" s="51"/>
      <c r="E41" s="51"/>
      <c r="F41" s="51"/>
      <c r="G41" s="51"/>
      <c r="H41" s="51"/>
      <c r="I41" s="51"/>
      <c r="J41" s="51"/>
      <c r="K41" s="51"/>
      <c r="L41" s="293"/>
      <c r="M41" s="51"/>
      <c r="N41" s="51"/>
    </row>
    <row r="43" spans="1:15" x14ac:dyDescent="0.3">
      <c r="M43" s="268"/>
      <c r="N43" s="268"/>
    </row>
    <row r="44" spans="1:15" x14ac:dyDescent="0.3">
      <c r="M44" s="268"/>
      <c r="N44" s="268"/>
    </row>
    <row r="46" spans="1:15" x14ac:dyDescent="0.3">
      <c r="M46" s="268"/>
      <c r="N46" s="268"/>
    </row>
    <row r="47" spans="1:15" x14ac:dyDescent="0.3">
      <c r="M47" s="268"/>
      <c r="N47" s="268"/>
    </row>
    <row r="51" spans="13:14" x14ac:dyDescent="0.3">
      <c r="M51" s="262"/>
      <c r="N51" s="262"/>
    </row>
    <row r="52" spans="13:14" x14ac:dyDescent="0.3">
      <c r="M52" s="262"/>
      <c r="N52" s="262"/>
    </row>
    <row r="54" spans="13:14" x14ac:dyDescent="0.3">
      <c r="M54" s="122"/>
      <c r="N54" s="122"/>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workbookViewId="0">
      <selection activeCell="Q36" sqref="Q36"/>
    </sheetView>
  </sheetViews>
  <sheetFormatPr defaultRowHeight="14.4" x14ac:dyDescent="0.3"/>
  <cols>
    <col min="1" max="1" width="37" style="57" customWidth="1"/>
    <col min="2" max="10" width="12.5546875" style="57" hidden="1" customWidth="1"/>
    <col min="11" max="11" width="13.109375" style="57" bestFit="1" customWidth="1"/>
    <col min="12" max="12" width="7.33203125" style="268" bestFit="1" customWidth="1"/>
    <col min="13" max="14" width="15.33203125" style="57" bestFit="1" customWidth="1"/>
    <col min="15" max="15" width="15.33203125" style="58" customWidth="1"/>
    <col min="16" max="16" width="22.5546875" customWidth="1"/>
  </cols>
  <sheetData>
    <row r="1" spans="1:15" x14ac:dyDescent="0.3">
      <c r="A1" s="317"/>
      <c r="B1" s="317"/>
      <c r="C1" s="317"/>
      <c r="D1" s="317"/>
      <c r="E1" s="317"/>
      <c r="F1" s="317"/>
      <c r="G1" s="317"/>
      <c r="H1" s="317"/>
      <c r="I1" s="317"/>
      <c r="J1" s="317"/>
      <c r="K1" s="317"/>
      <c r="L1" s="318"/>
      <c r="M1" s="319" t="s">
        <v>15</v>
      </c>
      <c r="N1" s="319" t="s">
        <v>15</v>
      </c>
      <c r="O1" s="378"/>
    </row>
    <row r="2" spans="1:15" x14ac:dyDescent="0.3">
      <c r="A2" s="323" t="s">
        <v>495</v>
      </c>
      <c r="B2" s="320"/>
      <c r="C2" s="320"/>
      <c r="D2" s="320"/>
      <c r="E2" s="320"/>
      <c r="F2" s="320"/>
      <c r="G2" s="320"/>
      <c r="H2" s="320"/>
      <c r="I2" s="320"/>
      <c r="J2" s="320"/>
      <c r="K2" s="321" t="s">
        <v>15</v>
      </c>
      <c r="L2" s="321" t="s">
        <v>18</v>
      </c>
      <c r="M2" s="322">
        <v>7774</v>
      </c>
      <c r="N2" s="322">
        <v>7767</v>
      </c>
      <c r="O2" s="183"/>
    </row>
    <row r="3" spans="1:15" x14ac:dyDescent="0.3">
      <c r="A3" s="323" t="s">
        <v>305</v>
      </c>
      <c r="B3" s="323"/>
      <c r="C3" s="323"/>
      <c r="D3" s="323"/>
      <c r="E3" s="323"/>
      <c r="F3" s="323"/>
      <c r="G3" s="323"/>
      <c r="H3" s="323"/>
      <c r="I3" s="323"/>
      <c r="J3" s="323"/>
      <c r="K3" s="323" t="s">
        <v>15</v>
      </c>
      <c r="L3" s="321" t="s">
        <v>458</v>
      </c>
      <c r="M3" s="322">
        <v>265</v>
      </c>
      <c r="N3" s="322">
        <v>283</v>
      </c>
      <c r="O3" s="183"/>
    </row>
    <row r="4" spans="1:15" ht="27.6" customHeight="1" x14ac:dyDescent="0.3">
      <c r="A4" s="359" t="str">
        <f>PTEC!A4</f>
        <v xml:space="preserve">August 31, 2019 </v>
      </c>
      <c r="B4" s="323" t="s">
        <v>549</v>
      </c>
      <c r="C4" s="323" t="s">
        <v>548</v>
      </c>
      <c r="D4" s="323" t="s">
        <v>550</v>
      </c>
      <c r="E4" s="323" t="s">
        <v>551</v>
      </c>
      <c r="F4" s="323" t="s">
        <v>553</v>
      </c>
      <c r="G4" s="323" t="s">
        <v>554</v>
      </c>
      <c r="H4" s="323" t="s">
        <v>555</v>
      </c>
      <c r="I4" s="323" t="s">
        <v>556</v>
      </c>
      <c r="J4" s="323" t="s">
        <v>557</v>
      </c>
      <c r="K4" s="323" t="s">
        <v>494</v>
      </c>
      <c r="L4" s="324">
        <f>PTEC!O4</f>
        <v>0.16666666666666666</v>
      </c>
      <c r="M4" s="380" t="s">
        <v>637</v>
      </c>
      <c r="N4" s="380" t="s">
        <v>640</v>
      </c>
      <c r="O4" s="389"/>
    </row>
    <row r="5" spans="1:15" s="195" customFormat="1" x14ac:dyDescent="0.3">
      <c r="A5" s="361" t="s">
        <v>15</v>
      </c>
      <c r="B5" s="60"/>
      <c r="C5" s="60"/>
      <c r="D5" s="60"/>
      <c r="E5" s="60"/>
      <c r="F5" s="60"/>
      <c r="G5" s="60"/>
      <c r="H5" s="60"/>
      <c r="I5" s="60"/>
      <c r="J5" s="60"/>
      <c r="K5" s="51"/>
      <c r="L5" s="362"/>
      <c r="M5" s="354"/>
      <c r="N5" s="354"/>
      <c r="O5" s="378"/>
    </row>
    <row r="6" spans="1:15" x14ac:dyDescent="0.3">
      <c r="A6" s="316" t="s">
        <v>493</v>
      </c>
      <c r="B6" s="316" t="e">
        <f>SUM(#REF!)</f>
        <v>#REF!</v>
      </c>
      <c r="C6" s="316" t="e">
        <f>SUM(#REF!)</f>
        <v>#REF!</v>
      </c>
      <c r="D6" s="316" t="e">
        <f>SUM(#REF!)</f>
        <v>#REF!</v>
      </c>
      <c r="E6" s="316" t="e">
        <f>SUM(#REF!)</f>
        <v>#REF!</v>
      </c>
      <c r="F6" s="316" t="e">
        <f>SUM(#REF!)</f>
        <v>#REF!</v>
      </c>
      <c r="G6" s="316" t="e">
        <f>SUM(#REF!)</f>
        <v>#REF!</v>
      </c>
      <c r="H6" s="316" t="e">
        <f>SUM(#REF!)</f>
        <v>#REF!</v>
      </c>
      <c r="I6" s="316" t="e">
        <f>SUM(#REF!)</f>
        <v>#REF!</v>
      </c>
      <c r="J6" s="316" t="e">
        <f>SUM(#REF!)</f>
        <v>#REF!</v>
      </c>
      <c r="K6" s="316">
        <f>PTEC!N17</f>
        <v>494289.11</v>
      </c>
      <c r="L6" s="325" t="e">
        <f>K6/M6</f>
        <v>#VALUE!</v>
      </c>
      <c r="M6" s="316" t="str">
        <f>+'budget entry'!F28</f>
        <v xml:space="preserve"> </v>
      </c>
      <c r="N6" s="316">
        <v>2347084</v>
      </c>
      <c r="O6" s="55"/>
    </row>
    <row r="7" spans="1:15" ht="12" customHeight="1" x14ac:dyDescent="0.3">
      <c r="B7" s="259"/>
      <c r="C7" s="259"/>
      <c r="D7" s="259"/>
      <c r="E7" s="259"/>
      <c r="F7" s="259"/>
      <c r="G7" s="259"/>
      <c r="H7" s="259"/>
      <c r="I7" s="259"/>
      <c r="J7" s="259"/>
      <c r="K7" s="259"/>
      <c r="L7" s="288"/>
      <c r="M7" s="259"/>
      <c r="N7" s="259"/>
      <c r="O7" s="378"/>
    </row>
    <row r="8" spans="1:15" ht="15" thickBot="1" x14ac:dyDescent="0.35">
      <c r="A8" s="260" t="s">
        <v>463</v>
      </c>
      <c r="B8" s="259"/>
      <c r="C8" s="259"/>
      <c r="D8" s="259"/>
      <c r="E8" s="259"/>
      <c r="F8" s="259"/>
      <c r="G8" s="259"/>
      <c r="H8" s="259"/>
      <c r="I8" s="259"/>
      <c r="J8" s="259"/>
      <c r="K8" s="259"/>
      <c r="L8" s="288"/>
      <c r="M8" s="259"/>
      <c r="N8" s="259"/>
      <c r="O8" s="378"/>
    </row>
    <row r="9" spans="1:15" x14ac:dyDescent="0.3">
      <c r="A9" s="270"/>
      <c r="B9" s="259"/>
      <c r="C9" s="259"/>
      <c r="D9" s="259"/>
      <c r="E9" s="259"/>
      <c r="F9" s="259"/>
      <c r="G9" s="259"/>
      <c r="H9" s="259"/>
      <c r="I9" s="259"/>
      <c r="J9" s="259"/>
      <c r="K9" s="259"/>
      <c r="L9" s="288"/>
      <c r="M9" s="259"/>
      <c r="N9" s="259"/>
      <c r="O9" s="378"/>
    </row>
    <row r="10" spans="1:15" s="195" customFormat="1" x14ac:dyDescent="0.3">
      <c r="A10" s="56" t="s">
        <v>30</v>
      </c>
      <c r="B10" s="51" t="e">
        <f>SUM(#REF!)</f>
        <v>#REF!</v>
      </c>
      <c r="C10" s="51" t="e">
        <f>SUM(#REF!)</f>
        <v>#REF!</v>
      </c>
      <c r="D10" s="51" t="e">
        <f>SUM(#REF!)</f>
        <v>#REF!</v>
      </c>
      <c r="E10" s="51" t="e">
        <f>SUM(#REF!)</f>
        <v>#REF!</v>
      </c>
      <c r="F10" s="51" t="e">
        <f>SUM(#REF!)</f>
        <v>#REF!</v>
      </c>
      <c r="G10" s="51" t="e">
        <f>SUM(#REF!)</f>
        <v>#REF!</v>
      </c>
      <c r="H10" s="51" t="e">
        <f>SUM(#REF!)</f>
        <v>#REF!</v>
      </c>
      <c r="I10" s="51" t="e">
        <f>SUM(#REF!)</f>
        <v>#REF!</v>
      </c>
      <c r="J10" s="51" t="e">
        <f>SUM(#REF!)</f>
        <v>#REF!</v>
      </c>
      <c r="K10" s="51">
        <f>PTEC!N33</f>
        <v>231316.63999999998</v>
      </c>
      <c r="L10" s="286">
        <f>K10/M10</f>
        <v>0.14699994460667778</v>
      </c>
      <c r="M10" s="51">
        <f>+'budget entry'!F52</f>
        <v>1573583.1780000001</v>
      </c>
      <c r="N10" s="51">
        <v>1176897</v>
      </c>
      <c r="O10" s="55"/>
    </row>
    <row r="11" spans="1:15" s="195" customFormat="1" ht="8.4" customHeight="1" x14ac:dyDescent="0.3">
      <c r="A11" s="51"/>
      <c r="B11" s="51"/>
      <c r="C11" s="51"/>
      <c r="D11" s="51"/>
      <c r="E11" s="51"/>
      <c r="F11" s="51"/>
      <c r="G11" s="51"/>
      <c r="H11" s="51"/>
      <c r="I11" s="51"/>
      <c r="J11" s="51"/>
      <c r="K11" s="51"/>
      <c r="L11" s="293"/>
      <c r="M11" s="51"/>
      <c r="N11" s="51"/>
      <c r="O11" s="58"/>
    </row>
    <row r="12" spans="1:15" s="195" customFormat="1" x14ac:dyDescent="0.3">
      <c r="A12" s="58" t="s">
        <v>35</v>
      </c>
      <c r="B12" s="51" t="e">
        <f>SUM(#REF!)</f>
        <v>#REF!</v>
      </c>
      <c r="C12" s="51" t="e">
        <f>SUM(#REF!)</f>
        <v>#REF!</v>
      </c>
      <c r="D12" s="51" t="e">
        <f>SUM(#REF!)</f>
        <v>#REF!</v>
      </c>
      <c r="E12" s="51" t="e">
        <f>SUM(#REF!)</f>
        <v>#REF!</v>
      </c>
      <c r="F12" s="51" t="e">
        <f>SUM(#REF!)</f>
        <v>#REF!</v>
      </c>
      <c r="G12" s="51" t="e">
        <f>SUM(#REF!)</f>
        <v>#REF!</v>
      </c>
      <c r="H12" s="51" t="e">
        <f>SUM(#REF!)</f>
        <v>#REF!</v>
      </c>
      <c r="I12" s="51" t="e">
        <f>SUM(#REF!)</f>
        <v>#REF!</v>
      </c>
      <c r="J12" s="51" t="e">
        <f>SUM(#REF!)</f>
        <v>#REF!</v>
      </c>
      <c r="K12" s="51">
        <f>PTEC!N41</f>
        <v>22076.99</v>
      </c>
      <c r="L12" s="286" t="e">
        <f>K12/M12</f>
        <v>#DIV/0!</v>
      </c>
      <c r="M12" s="51">
        <f>+'budget entry'!F68</f>
        <v>0</v>
      </c>
      <c r="N12" s="51">
        <v>118442</v>
      </c>
      <c r="O12" s="55"/>
    </row>
    <row r="13" spans="1:15" s="195" customFormat="1" ht="10.199999999999999" customHeight="1" x14ac:dyDescent="0.3">
      <c r="A13" s="51"/>
      <c r="B13" s="51"/>
      <c r="C13" s="51"/>
      <c r="D13" s="51"/>
      <c r="E13" s="51"/>
      <c r="F13" s="51"/>
      <c r="G13" s="51"/>
      <c r="H13" s="51"/>
      <c r="I13" s="51"/>
      <c r="J13" s="51"/>
      <c r="K13" s="51"/>
      <c r="L13" s="293"/>
      <c r="M13" s="51"/>
      <c r="N13" s="51"/>
      <c r="O13" s="58"/>
    </row>
    <row r="14" spans="1:15" s="195" customFormat="1" x14ac:dyDescent="0.3">
      <c r="A14" s="58" t="s">
        <v>126</v>
      </c>
      <c r="B14" s="51" t="e">
        <f>SUM(#REF!)</f>
        <v>#REF!</v>
      </c>
      <c r="C14" s="51" t="e">
        <f>SUM(#REF!)</f>
        <v>#REF!</v>
      </c>
      <c r="D14" s="51" t="e">
        <f>SUM(#REF!)</f>
        <v>#REF!</v>
      </c>
      <c r="E14" s="51" t="e">
        <f>SUM(#REF!)</f>
        <v>#REF!</v>
      </c>
      <c r="F14" s="51" t="e">
        <f>SUM(#REF!)</f>
        <v>#REF!</v>
      </c>
      <c r="G14" s="51" t="e">
        <f>SUM(#REF!)</f>
        <v>#REF!</v>
      </c>
      <c r="H14" s="51" t="e">
        <f>SUM(#REF!)</f>
        <v>#REF!</v>
      </c>
      <c r="I14" s="51" t="e">
        <f>SUM(#REF!)</f>
        <v>#REF!</v>
      </c>
      <c r="J14" s="51" t="e">
        <f>SUM(#REF!)</f>
        <v>#REF!</v>
      </c>
      <c r="K14" s="51">
        <f>PTEC!N46</f>
        <v>10521.14</v>
      </c>
      <c r="L14" s="286" t="e">
        <f>K14/M14</f>
        <v>#DIV/0!</v>
      </c>
      <c r="M14" s="51">
        <f>+'budget entry'!F80</f>
        <v>0</v>
      </c>
      <c r="N14" s="51">
        <v>11346</v>
      </c>
      <c r="O14" s="55"/>
    </row>
    <row r="15" spans="1:15" s="195" customFormat="1" ht="12.75" customHeight="1" x14ac:dyDescent="0.3">
      <c r="A15" s="51"/>
      <c r="B15" s="51"/>
      <c r="C15" s="51"/>
      <c r="D15" s="51"/>
      <c r="E15" s="51"/>
      <c r="F15" s="51"/>
      <c r="G15" s="51"/>
      <c r="H15" s="51"/>
      <c r="I15" s="51"/>
      <c r="J15" s="51"/>
      <c r="K15" s="51"/>
      <c r="L15" s="293"/>
      <c r="M15" s="51"/>
      <c r="N15" s="51"/>
      <c r="O15" s="58"/>
    </row>
    <row r="16" spans="1:15" s="195" customFormat="1" x14ac:dyDescent="0.3">
      <c r="A16" s="51" t="s">
        <v>576</v>
      </c>
      <c r="B16" s="51" t="e">
        <f>SUM(#REF!)</f>
        <v>#REF!</v>
      </c>
      <c r="C16" s="51" t="e">
        <f>SUM(#REF!)</f>
        <v>#REF!</v>
      </c>
      <c r="D16" s="51" t="e">
        <f>SUM(#REF!)</f>
        <v>#REF!</v>
      </c>
      <c r="E16" s="51" t="e">
        <f>SUM(#REF!)</f>
        <v>#REF!</v>
      </c>
      <c r="F16" s="51" t="e">
        <f>SUM(#REF!)</f>
        <v>#REF!</v>
      </c>
      <c r="G16" s="51" t="e">
        <f>SUM(#REF!)</f>
        <v>#REF!</v>
      </c>
      <c r="H16" s="51" t="e">
        <f>SUM(#REF!)</f>
        <v>#REF!</v>
      </c>
      <c r="I16" s="51" t="e">
        <f>SUM(#REF!)</f>
        <v>#REF!</v>
      </c>
      <c r="J16" s="51" t="e">
        <f>SUM(#REF!)</f>
        <v>#REF!</v>
      </c>
      <c r="K16" s="51">
        <f>PTEC!N59</f>
        <v>30091.579999999998</v>
      </c>
      <c r="L16" s="286" t="e">
        <f>K16/M16</f>
        <v>#DIV/0!</v>
      </c>
      <c r="M16" s="51">
        <f>+'budget entry'!F95</f>
        <v>0</v>
      </c>
      <c r="N16" s="51">
        <v>122311</v>
      </c>
      <c r="O16" s="55"/>
    </row>
    <row r="17" spans="1:15" s="195" customFormat="1" ht="9" customHeight="1" x14ac:dyDescent="0.3">
      <c r="A17" s="51"/>
      <c r="B17" s="51"/>
      <c r="C17" s="51"/>
      <c r="D17" s="51"/>
      <c r="E17" s="51"/>
      <c r="F17" s="51"/>
      <c r="G17" s="51"/>
      <c r="H17" s="51"/>
      <c r="I17" s="51"/>
      <c r="J17" s="51"/>
      <c r="K17" s="51"/>
      <c r="L17" s="293"/>
      <c r="M17" s="51"/>
      <c r="N17" s="51"/>
      <c r="O17" s="58"/>
    </row>
    <row r="18" spans="1:15" s="195" customFormat="1" x14ac:dyDescent="0.3">
      <c r="A18" s="58" t="s">
        <v>20</v>
      </c>
      <c r="B18" s="51" t="e">
        <f>SUM(#REF!)</f>
        <v>#REF!</v>
      </c>
      <c r="C18" s="51" t="e">
        <f>SUM(#REF!)</f>
        <v>#REF!</v>
      </c>
      <c r="D18" s="51" t="e">
        <f>SUM(#REF!)</f>
        <v>#REF!</v>
      </c>
      <c r="E18" s="51" t="e">
        <f>SUM(#REF!)</f>
        <v>#REF!</v>
      </c>
      <c r="F18" s="51" t="e">
        <f>SUM(#REF!)</f>
        <v>#REF!</v>
      </c>
      <c r="G18" s="51" t="e">
        <f>SUM(#REF!)</f>
        <v>#REF!</v>
      </c>
      <c r="H18" s="51" t="e">
        <f>SUM(#REF!)</f>
        <v>#REF!</v>
      </c>
      <c r="I18" s="51" t="e">
        <f>SUM(#REF!)</f>
        <v>#REF!</v>
      </c>
      <c r="J18" s="51" t="e">
        <f>SUM(#REF!)</f>
        <v>#REF!</v>
      </c>
      <c r="K18" s="51">
        <f>PTEC!N69</f>
        <v>34169.93</v>
      </c>
      <c r="L18" s="286" t="e">
        <f>K18/M18</f>
        <v>#DIV/0!</v>
      </c>
      <c r="M18" s="51">
        <f>+'budget entry'!F107</f>
        <v>0</v>
      </c>
      <c r="N18" s="51">
        <v>236520</v>
      </c>
      <c r="O18" s="55"/>
    </row>
    <row r="19" spans="1:15" s="195" customFormat="1" ht="8.25" customHeight="1" x14ac:dyDescent="0.3">
      <c r="A19" s="51"/>
      <c r="B19" s="51"/>
      <c r="C19" s="51"/>
      <c r="D19" s="51"/>
      <c r="E19" s="51"/>
      <c r="F19" s="51"/>
      <c r="G19" s="51"/>
      <c r="H19" s="51"/>
      <c r="I19" s="51"/>
      <c r="J19" s="51"/>
      <c r="K19" s="51"/>
      <c r="L19" s="293"/>
      <c r="M19" s="51"/>
      <c r="N19" s="51"/>
      <c r="O19" s="58"/>
    </row>
    <row r="20" spans="1:15" s="195" customFormat="1" x14ac:dyDescent="0.3">
      <c r="A20" s="58" t="s">
        <v>131</v>
      </c>
      <c r="B20" s="78" t="e">
        <f>SUM(#REF!)</f>
        <v>#REF!</v>
      </c>
      <c r="C20" s="78" t="e">
        <f>SUM(#REF!)</f>
        <v>#REF!</v>
      </c>
      <c r="D20" s="78" t="e">
        <f>SUM(#REF!)</f>
        <v>#REF!</v>
      </c>
      <c r="E20" s="78" t="e">
        <f>SUM(#REF!)</f>
        <v>#REF!</v>
      </c>
      <c r="F20" s="78" t="e">
        <f>SUM(#REF!)</f>
        <v>#REF!</v>
      </c>
      <c r="G20" s="78" t="e">
        <f>SUM(#REF!)</f>
        <v>#REF!</v>
      </c>
      <c r="H20" s="78" t="e">
        <f>SUM(#REF!)</f>
        <v>#REF!</v>
      </c>
      <c r="I20" s="78" t="e">
        <f>SUM(#REF!)</f>
        <v>#REF!</v>
      </c>
      <c r="J20" s="78" t="e">
        <f>SUM(#REF!)</f>
        <v>#REF!</v>
      </c>
      <c r="K20" s="78">
        <f>PTEC!N82</f>
        <v>11851.489999999998</v>
      </c>
      <c r="L20" s="286" t="e">
        <f>K20/M20</f>
        <v>#DIV/0!</v>
      </c>
      <c r="M20" s="78">
        <f>+'budget entry'!F122</f>
        <v>0</v>
      </c>
      <c r="N20" s="78">
        <v>47796</v>
      </c>
      <c r="O20" s="105"/>
    </row>
    <row r="21" spans="1:15" s="195" customFormat="1" ht="8.25" customHeight="1" x14ac:dyDescent="0.3">
      <c r="A21" s="51"/>
      <c r="B21" s="370"/>
      <c r="C21" s="370"/>
      <c r="D21" s="370"/>
      <c r="E21" s="370"/>
      <c r="F21" s="370"/>
      <c r="G21" s="370"/>
      <c r="H21" s="370"/>
      <c r="I21" s="370"/>
      <c r="J21" s="370"/>
      <c r="K21" s="370"/>
      <c r="L21" s="470"/>
      <c r="M21" s="370"/>
      <c r="N21" s="370"/>
      <c r="O21" s="375"/>
    </row>
    <row r="22" spans="1:15" s="195" customFormat="1" x14ac:dyDescent="0.3">
      <c r="A22" s="78" t="s">
        <v>541</v>
      </c>
      <c r="B22" s="78" t="e">
        <f>SUM(#REF!)</f>
        <v>#REF!</v>
      </c>
      <c r="C22" s="78" t="e">
        <f>SUM(#REF!)</f>
        <v>#REF!</v>
      </c>
      <c r="D22" s="78" t="e">
        <f>SUM(#REF!)</f>
        <v>#REF!</v>
      </c>
      <c r="E22" s="78" t="e">
        <f>SUM(#REF!)</f>
        <v>#REF!</v>
      </c>
      <c r="F22" s="78" t="e">
        <f>SUM(#REF!)</f>
        <v>#REF!</v>
      </c>
      <c r="G22" s="78" t="e">
        <f>SUM(#REF!)</f>
        <v>#REF!</v>
      </c>
      <c r="H22" s="78" t="e">
        <f>SUM(#REF!)</f>
        <v>#REF!</v>
      </c>
      <c r="I22" s="78" t="e">
        <f>SUM(#REF!)</f>
        <v>#REF!</v>
      </c>
      <c r="J22" s="78" t="e">
        <f>SUM(#REF!)</f>
        <v>#REF!</v>
      </c>
      <c r="K22" s="78">
        <f>PTEC!N95</f>
        <v>21556.16</v>
      </c>
      <c r="L22" s="286">
        <f>K22/M22</f>
        <v>1.0778080000000001</v>
      </c>
      <c r="M22" s="78">
        <f>+'budget entry'!F138</f>
        <v>20000</v>
      </c>
      <c r="N22" s="78">
        <v>182200</v>
      </c>
      <c r="O22" s="105"/>
    </row>
    <row r="23" spans="1:15" s="195" customFormat="1" ht="10.5" customHeight="1" x14ac:dyDescent="0.3">
      <c r="A23" s="51"/>
      <c r="B23" s="51"/>
      <c r="C23" s="51"/>
      <c r="D23" s="51"/>
      <c r="E23" s="51"/>
      <c r="F23" s="51"/>
      <c r="G23" s="51"/>
      <c r="H23" s="51"/>
      <c r="I23" s="51"/>
      <c r="J23" s="51"/>
      <c r="K23" s="51"/>
      <c r="L23" s="293"/>
      <c r="M23" s="51"/>
      <c r="N23" s="51"/>
      <c r="O23" s="58"/>
    </row>
    <row r="24" spans="1:15" s="195" customFormat="1" x14ac:dyDescent="0.3">
      <c r="A24" s="51" t="s">
        <v>236</v>
      </c>
      <c r="B24" s="76" t="e">
        <f>SUM(#REF!)</f>
        <v>#REF!</v>
      </c>
      <c r="C24" s="76" t="e">
        <f>SUM(#REF!)</f>
        <v>#REF!</v>
      </c>
      <c r="D24" s="76" t="e">
        <f>SUM(#REF!)</f>
        <v>#REF!</v>
      </c>
      <c r="E24" s="76" t="e">
        <f>SUM(#REF!)</f>
        <v>#REF!</v>
      </c>
      <c r="F24" s="76" t="e">
        <f>SUM(#REF!)</f>
        <v>#REF!</v>
      </c>
      <c r="G24" s="76" t="e">
        <f>SUM(#REF!)</f>
        <v>#REF!</v>
      </c>
      <c r="H24" s="76" t="e">
        <f>SUM(#REF!)</f>
        <v>#REF!</v>
      </c>
      <c r="I24" s="76" t="e">
        <f>SUM(#REF!)</f>
        <v>#REF!</v>
      </c>
      <c r="J24" s="76" t="e">
        <f>SUM(#REF!)</f>
        <v>#REF!</v>
      </c>
      <c r="K24" s="76">
        <f>PTEC!N102</f>
        <v>2882.67</v>
      </c>
      <c r="L24" s="286">
        <f>K24/M24</f>
        <v>0.1441335</v>
      </c>
      <c r="M24" s="76">
        <f>+'budget entry'!F146</f>
        <v>20000</v>
      </c>
      <c r="N24" s="76">
        <v>48800</v>
      </c>
      <c r="O24" s="87"/>
    </row>
    <row r="25" spans="1:15" s="195" customFormat="1" ht="12" customHeight="1" x14ac:dyDescent="0.3">
      <c r="A25" s="51"/>
      <c r="B25" s="58"/>
      <c r="C25" s="58"/>
      <c r="D25" s="58"/>
      <c r="E25" s="58"/>
      <c r="F25" s="58"/>
      <c r="G25" s="58"/>
      <c r="H25" s="58"/>
      <c r="I25" s="58"/>
      <c r="J25" s="58"/>
      <c r="K25" s="58"/>
      <c r="L25" s="344"/>
      <c r="M25" s="58"/>
      <c r="N25" s="58"/>
      <c r="O25" s="58"/>
    </row>
    <row r="26" spans="1:15" s="195" customFormat="1" x14ac:dyDescent="0.3">
      <c r="A26" s="78" t="s">
        <v>575</v>
      </c>
      <c r="B26" s="79" t="e">
        <f>SUM(#REF!)</f>
        <v>#REF!</v>
      </c>
      <c r="C26" s="79" t="e">
        <f>SUM(#REF!)</f>
        <v>#REF!</v>
      </c>
      <c r="D26" s="79" t="e">
        <f>SUM(#REF!)</f>
        <v>#REF!</v>
      </c>
      <c r="E26" s="79" t="e">
        <f>SUM(#REF!)</f>
        <v>#REF!</v>
      </c>
      <c r="F26" s="79" t="e">
        <f>SUM(#REF!)</f>
        <v>#REF!</v>
      </c>
      <c r="G26" s="79" t="e">
        <f>SUM(#REF!)</f>
        <v>#REF!</v>
      </c>
      <c r="H26" s="79" t="e">
        <f>SUM(#REF!)</f>
        <v>#REF!</v>
      </c>
      <c r="I26" s="79" t="e">
        <f>SUM(#REF!)</f>
        <v>#REF!</v>
      </c>
      <c r="J26" s="79" t="e">
        <f>SUM(#REF!)</f>
        <v>#REF!</v>
      </c>
      <c r="K26" s="79">
        <f>PTEC!N112</f>
        <v>23225.9</v>
      </c>
      <c r="L26" s="286">
        <f>K26/M26</f>
        <v>4.2228909090909097</v>
      </c>
      <c r="M26" s="79">
        <f>+'budget entry'!F156</f>
        <v>5500</v>
      </c>
      <c r="N26" s="79">
        <v>91500</v>
      </c>
      <c r="O26" s="105"/>
    </row>
    <row r="27" spans="1:15" s="195" customFormat="1" ht="13.5" customHeight="1" x14ac:dyDescent="0.3">
      <c r="A27" s="51"/>
      <c r="B27" s="464"/>
      <c r="C27" s="464"/>
      <c r="D27" s="464"/>
      <c r="E27" s="464"/>
      <c r="F27" s="464"/>
      <c r="G27" s="464"/>
      <c r="H27" s="464"/>
      <c r="I27" s="464"/>
      <c r="J27" s="464"/>
      <c r="K27" s="464"/>
      <c r="L27" s="398"/>
      <c r="M27" s="464"/>
      <c r="N27" s="464"/>
      <c r="O27" s="375"/>
    </row>
    <row r="28" spans="1:15" s="195" customFormat="1" x14ac:dyDescent="0.3">
      <c r="A28" s="51" t="s">
        <v>481</v>
      </c>
      <c r="B28" s="76">
        <v>78358</v>
      </c>
      <c r="C28" s="76">
        <v>26417.77</v>
      </c>
      <c r="D28" s="76">
        <v>25817.77</v>
      </c>
      <c r="E28" s="76">
        <v>25817.77</v>
      </c>
      <c r="F28" s="76"/>
      <c r="G28" s="76"/>
      <c r="H28" s="76"/>
      <c r="I28" s="76"/>
      <c r="J28" s="76"/>
      <c r="K28" s="79">
        <f>PTEC!N120</f>
        <v>51635.54</v>
      </c>
      <c r="L28" s="286">
        <f>K28/M28</f>
        <v>45.373936731107207</v>
      </c>
      <c r="M28" s="76">
        <f>+'budget entry'!F158</f>
        <v>1138</v>
      </c>
      <c r="N28" s="76" t="e">
        <f>PTEC!#REF!</f>
        <v>#REF!</v>
      </c>
      <c r="O28" s="87"/>
    </row>
    <row r="29" spans="1:15" ht="13.5" customHeight="1" x14ac:dyDescent="0.3">
      <c r="B29" s="469"/>
      <c r="C29" s="469"/>
      <c r="D29" s="469"/>
      <c r="E29" s="469"/>
      <c r="F29" s="469"/>
      <c r="G29" s="469"/>
      <c r="H29" s="469"/>
      <c r="I29" s="469"/>
      <c r="J29" s="469"/>
      <c r="K29" s="469"/>
      <c r="L29" s="471"/>
      <c r="M29" s="469"/>
      <c r="N29" s="469"/>
      <c r="O29" s="375"/>
    </row>
    <row r="30" spans="1:15" x14ac:dyDescent="0.3">
      <c r="A30" s="316" t="s">
        <v>50</v>
      </c>
      <c r="B30" s="326" t="e">
        <f t="shared" ref="B30:K30" si="0">+B28+B26+B24+B22+B20+B18+B16+B14+B12+B10</f>
        <v>#REF!</v>
      </c>
      <c r="C30" s="326" t="e">
        <f t="shared" si="0"/>
        <v>#REF!</v>
      </c>
      <c r="D30" s="326" t="e">
        <f t="shared" si="0"/>
        <v>#REF!</v>
      </c>
      <c r="E30" s="326" t="e">
        <f t="shared" si="0"/>
        <v>#REF!</v>
      </c>
      <c r="F30" s="326" t="e">
        <f t="shared" si="0"/>
        <v>#REF!</v>
      </c>
      <c r="G30" s="326" t="e">
        <f t="shared" si="0"/>
        <v>#REF!</v>
      </c>
      <c r="H30" s="326" t="e">
        <f t="shared" si="0"/>
        <v>#REF!</v>
      </c>
      <c r="I30" s="326" t="e">
        <f t="shared" si="0"/>
        <v>#REF!</v>
      </c>
      <c r="J30" s="326" t="e">
        <f t="shared" si="0"/>
        <v>#REF!</v>
      </c>
      <c r="K30" s="326">
        <f t="shared" si="0"/>
        <v>439328.03999999992</v>
      </c>
      <c r="L30" s="327">
        <f>K30/M30</f>
        <v>0.27115312771204864</v>
      </c>
      <c r="M30" s="326">
        <f>+M28+M26+M24+M22+M20+M18+M16+M14+M12+M10</f>
        <v>1620221.1780000001</v>
      </c>
      <c r="N30" s="326" t="e">
        <f>+N28+N26+N24+N22+N20+N18+N16+N14+N12+N10</f>
        <v>#REF!</v>
      </c>
      <c r="O30" s="87"/>
    </row>
    <row r="31" spans="1:15" x14ac:dyDescent="0.3">
      <c r="B31" s="265"/>
      <c r="C31" s="265"/>
      <c r="D31" s="265"/>
      <c r="E31" s="265"/>
      <c r="F31" s="265"/>
      <c r="G31" s="265"/>
      <c r="H31" s="265"/>
      <c r="I31" s="265"/>
      <c r="J31" s="265"/>
      <c r="K31" s="265"/>
      <c r="L31" s="290"/>
      <c r="M31" s="265"/>
      <c r="N31" s="265"/>
      <c r="O31" s="375"/>
    </row>
    <row r="32" spans="1:15" ht="15" thickBot="1" x14ac:dyDescent="0.35">
      <c r="A32" s="316" t="s">
        <v>482</v>
      </c>
      <c r="B32" s="328" t="e">
        <f>B6-B30</f>
        <v>#REF!</v>
      </c>
      <c r="C32" s="328" t="e">
        <f t="shared" ref="C32:K32" si="1">+C6-C30</f>
        <v>#REF!</v>
      </c>
      <c r="D32" s="328" t="e">
        <f t="shared" si="1"/>
        <v>#REF!</v>
      </c>
      <c r="E32" s="328" t="e">
        <f t="shared" si="1"/>
        <v>#REF!</v>
      </c>
      <c r="F32" s="328" t="e">
        <f t="shared" si="1"/>
        <v>#REF!</v>
      </c>
      <c r="G32" s="328" t="e">
        <f t="shared" si="1"/>
        <v>#REF!</v>
      </c>
      <c r="H32" s="328" t="e">
        <f t="shared" si="1"/>
        <v>#REF!</v>
      </c>
      <c r="I32" s="328" t="e">
        <f t="shared" si="1"/>
        <v>#REF!</v>
      </c>
      <c r="J32" s="328" t="e">
        <f t="shared" si="1"/>
        <v>#REF!</v>
      </c>
      <c r="K32" s="328">
        <f t="shared" si="1"/>
        <v>54961.070000000065</v>
      </c>
      <c r="L32" s="329"/>
      <c r="M32" s="328" t="e">
        <f>M6-M30</f>
        <v>#VALUE!</v>
      </c>
      <c r="N32" s="328" t="e">
        <f>N6-N30</f>
        <v>#REF!</v>
      </c>
      <c r="O32" s="87"/>
    </row>
    <row r="33" spans="1:15" ht="15" thickTop="1" x14ac:dyDescent="0.3">
      <c r="M33" s="265"/>
      <c r="N33" s="265"/>
      <c r="O33" s="375"/>
    </row>
    <row r="34" spans="1:15" x14ac:dyDescent="0.3">
      <c r="A34" s="62" t="s">
        <v>483</v>
      </c>
      <c r="B34" s="62"/>
      <c r="C34" s="62"/>
      <c r="D34" s="62"/>
      <c r="E34" s="62"/>
      <c r="F34" s="62"/>
      <c r="G34" s="62"/>
      <c r="H34" s="62"/>
      <c r="I34" s="62"/>
      <c r="J34" s="62"/>
      <c r="K34" s="62"/>
      <c r="L34" s="292"/>
      <c r="M34" s="257">
        <v>284110</v>
      </c>
      <c r="N34" s="257">
        <v>284110</v>
      </c>
      <c r="O34" s="105"/>
    </row>
    <row r="35" spans="1:15" ht="15" thickBot="1" x14ac:dyDescent="0.35">
      <c r="A35" s="62" t="s">
        <v>588</v>
      </c>
      <c r="B35" s="62"/>
      <c r="C35" s="62"/>
      <c r="D35" s="62"/>
      <c r="E35" s="62"/>
      <c r="F35" s="62"/>
      <c r="G35" s="62"/>
      <c r="H35" s="62"/>
      <c r="I35" s="62"/>
      <c r="J35" s="62"/>
      <c r="K35" s="62"/>
      <c r="L35" s="292"/>
      <c r="M35" s="266" t="e">
        <f>+M34+M32</f>
        <v>#VALUE!</v>
      </c>
      <c r="N35" s="266" t="e">
        <f>+N34+N32</f>
        <v>#REF!</v>
      </c>
      <c r="O35" s="87"/>
    </row>
    <row r="36" spans="1:15" ht="15" thickTop="1" x14ac:dyDescent="0.3"/>
    <row r="37" spans="1:15" x14ac:dyDescent="0.3">
      <c r="A37" s="62"/>
      <c r="B37" s="62"/>
      <c r="C37" s="62"/>
      <c r="D37" s="62"/>
      <c r="E37" s="62"/>
      <c r="F37" s="62"/>
      <c r="G37" s="62"/>
      <c r="H37" s="62"/>
      <c r="I37" s="62"/>
      <c r="J37" s="62"/>
      <c r="K37" s="62"/>
      <c r="L37" s="292"/>
    </row>
    <row r="39" spans="1:15" x14ac:dyDescent="0.3">
      <c r="A39" s="51"/>
      <c r="B39" s="51"/>
      <c r="C39" s="51"/>
      <c r="D39" s="51"/>
      <c r="E39" s="51"/>
      <c r="F39" s="51"/>
      <c r="G39" s="51"/>
      <c r="H39" s="51"/>
      <c r="I39" s="51"/>
      <c r="J39" s="51"/>
      <c r="K39" s="51"/>
      <c r="L39" s="293"/>
      <c r="M39" s="51"/>
      <c r="N39" s="51"/>
    </row>
    <row r="41" spans="1:15" x14ac:dyDescent="0.3">
      <c r="M41" s="268"/>
      <c r="N41" s="268"/>
      <c r="O41" s="344"/>
    </row>
    <row r="42" spans="1:15" x14ac:dyDescent="0.3">
      <c r="M42" s="268"/>
      <c r="N42" s="268"/>
      <c r="O42" s="344"/>
    </row>
    <row r="44" spans="1:15" x14ac:dyDescent="0.3">
      <c r="M44" s="268"/>
      <c r="N44" s="268"/>
      <c r="O44" s="344"/>
    </row>
    <row r="45" spans="1:15" x14ac:dyDescent="0.3">
      <c r="M45" s="268"/>
      <c r="N45" s="268"/>
      <c r="O45" s="344"/>
    </row>
    <row r="49" spans="13:15" x14ac:dyDescent="0.3">
      <c r="M49" s="262"/>
      <c r="N49" s="262"/>
      <c r="O49" s="76"/>
    </row>
    <row r="50" spans="13:15" x14ac:dyDescent="0.3">
      <c r="M50" s="262"/>
      <c r="N50" s="262"/>
      <c r="O50" s="76"/>
    </row>
    <row r="52" spans="13:15" x14ac:dyDescent="0.3">
      <c r="M52" s="122"/>
      <c r="N52" s="122"/>
      <c r="O52" s="390"/>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3"/>
  <sheetViews>
    <sheetView workbookViewId="0">
      <pane xSplit="1" ySplit="4" topLeftCell="B5" activePane="bottomRight" state="frozen"/>
      <selection pane="topRight" activeCell="B1" sqref="B1"/>
      <selection pane="bottomLeft" activeCell="A5" sqref="A5"/>
      <selection pane="bottomRight" activeCell="AC15" sqref="AC15"/>
    </sheetView>
  </sheetViews>
  <sheetFormatPr defaultRowHeight="14.4" x14ac:dyDescent="0.3"/>
  <cols>
    <col min="1" max="1" width="32.5546875" style="57" customWidth="1"/>
    <col min="2" max="2" width="11.109375" style="57" hidden="1" customWidth="1"/>
    <col min="3" max="6" width="12.5546875" style="57" hidden="1" customWidth="1"/>
    <col min="7" max="7" width="11.6640625" style="57" hidden="1" customWidth="1"/>
    <col min="8" max="9" width="12.5546875" style="57" customWidth="1"/>
    <col min="10" max="13" width="12.5546875" style="57" hidden="1" customWidth="1"/>
    <col min="14" max="14" width="11.5546875" style="57" customWidth="1"/>
    <col min="15" max="15" width="7.33203125" style="268" customWidth="1"/>
    <col min="16" max="16" width="12.44140625" style="57" customWidth="1"/>
    <col min="17" max="17" width="12" style="57" customWidth="1"/>
    <col min="18" max="18" width="12" style="57" hidden="1" customWidth="1"/>
    <col min="19" max="20" width="15.33203125" style="57" hidden="1" customWidth="1"/>
    <col min="21" max="21" width="20.6640625" style="57" hidden="1" customWidth="1"/>
    <col min="22" max="23" width="15.33203125" style="58" hidden="1" customWidth="1"/>
    <col min="24" max="24" width="15.6640625" style="102" hidden="1" customWidth="1"/>
    <col min="25" max="25" width="22.5546875" hidden="1" customWidth="1"/>
    <col min="26" max="27" width="0" hidden="1" customWidth="1"/>
    <col min="28" max="28" width="35.109375" customWidth="1"/>
    <col min="29" max="29" width="15.6640625" customWidth="1"/>
    <col min="30" max="30" width="19.5546875" customWidth="1"/>
  </cols>
  <sheetData>
    <row r="1" spans="1:28" x14ac:dyDescent="0.3">
      <c r="A1" s="317"/>
      <c r="B1" s="317"/>
      <c r="C1" s="317"/>
      <c r="D1" s="317"/>
      <c r="E1" s="317"/>
      <c r="F1" s="317"/>
      <c r="G1" s="317"/>
      <c r="H1" s="317"/>
      <c r="I1" s="317"/>
      <c r="J1" s="317"/>
      <c r="K1" s="317"/>
      <c r="L1" s="317"/>
      <c r="M1" s="317"/>
      <c r="N1" s="317"/>
      <c r="O1" s="318"/>
      <c r="P1" s="319" t="s">
        <v>15</v>
      </c>
      <c r="Q1" s="319" t="s">
        <v>15</v>
      </c>
      <c r="R1" s="319" t="s">
        <v>15</v>
      </c>
      <c r="S1" s="319" t="s">
        <v>15</v>
      </c>
      <c r="T1" s="319" t="s">
        <v>15</v>
      </c>
      <c r="U1" s="319"/>
      <c r="V1" s="378"/>
      <c r="W1" s="378"/>
      <c r="X1" s="151">
        <v>285</v>
      </c>
      <c r="AB1" s="317"/>
    </row>
    <row r="2" spans="1:28" x14ac:dyDescent="0.3">
      <c r="A2" s="323" t="s">
        <v>495</v>
      </c>
      <c r="B2" s="320"/>
      <c r="C2" s="320"/>
      <c r="D2" s="320"/>
      <c r="E2" s="320"/>
      <c r="F2" s="320"/>
      <c r="G2" s="320"/>
      <c r="H2" s="320"/>
      <c r="I2" s="320"/>
      <c r="J2" s="320"/>
      <c r="K2" s="320"/>
      <c r="L2" s="320"/>
      <c r="M2" s="320"/>
      <c r="N2" s="321" t="s">
        <v>15</v>
      </c>
      <c r="O2" s="321" t="s">
        <v>18</v>
      </c>
      <c r="P2" s="322" t="str">
        <f>'budget entry'!F2</f>
        <v>PTEC</v>
      </c>
      <c r="Q2" s="322">
        <v>7774</v>
      </c>
      <c r="R2" s="322">
        <v>7767</v>
      </c>
      <c r="S2" s="322">
        <v>7607</v>
      </c>
      <c r="T2" s="322">
        <v>7314</v>
      </c>
      <c r="U2" s="322"/>
      <c r="V2" s="183"/>
      <c r="W2" s="183"/>
      <c r="X2" s="48">
        <f>7075.6*1.02</f>
        <v>7217.1120000000001</v>
      </c>
      <c r="AB2" s="320"/>
    </row>
    <row r="3" spans="1:28" x14ac:dyDescent="0.3">
      <c r="A3" s="323" t="s">
        <v>305</v>
      </c>
      <c r="B3" s="323"/>
      <c r="C3" s="323"/>
      <c r="D3" s="323"/>
      <c r="E3" s="323"/>
      <c r="F3" s="323"/>
      <c r="G3" s="323"/>
      <c r="H3" s="323"/>
      <c r="I3" s="323"/>
      <c r="J3" s="323"/>
      <c r="K3" s="323"/>
      <c r="L3" s="323"/>
      <c r="M3" s="323"/>
      <c r="N3" s="323" t="s">
        <v>15</v>
      </c>
      <c r="O3" s="321" t="s">
        <v>458</v>
      </c>
      <c r="P3" s="322">
        <f>'budget entry'!F3</f>
        <v>8126</v>
      </c>
      <c r="Q3" s="322">
        <v>265</v>
      </c>
      <c r="R3" s="322">
        <v>283</v>
      </c>
      <c r="S3" s="322">
        <v>315</v>
      </c>
      <c r="T3" s="322">
        <v>237</v>
      </c>
      <c r="U3" s="322"/>
      <c r="V3" s="183"/>
      <c r="W3" s="183"/>
      <c r="X3" s="44">
        <v>250</v>
      </c>
      <c r="AB3" s="323"/>
    </row>
    <row r="4" spans="1:28" ht="27.6" customHeight="1" thickBot="1" x14ac:dyDescent="0.35">
      <c r="A4" s="423" t="s">
        <v>654</v>
      </c>
      <c r="B4" s="323" t="s">
        <v>608</v>
      </c>
      <c r="C4" s="323" t="s">
        <v>609</v>
      </c>
      <c r="D4" s="323" t="s">
        <v>610</v>
      </c>
      <c r="E4" s="323" t="s">
        <v>611</v>
      </c>
      <c r="F4" s="323" t="s">
        <v>550</v>
      </c>
      <c r="G4" s="323" t="s">
        <v>551</v>
      </c>
      <c r="H4" s="323" t="s">
        <v>552</v>
      </c>
      <c r="I4" s="323" t="s">
        <v>553</v>
      </c>
      <c r="J4" s="323" t="s">
        <v>554</v>
      </c>
      <c r="K4" s="323" t="s">
        <v>555</v>
      </c>
      <c r="L4" s="323" t="s">
        <v>556</v>
      </c>
      <c r="M4" s="323" t="s">
        <v>557</v>
      </c>
      <c r="N4" s="323" t="s">
        <v>494</v>
      </c>
      <c r="O4" s="324">
        <f>8/12</f>
        <v>0.66666666666666663</v>
      </c>
      <c r="P4" s="380" t="s">
        <v>637</v>
      </c>
      <c r="Q4" s="380" t="s">
        <v>636</v>
      </c>
      <c r="R4" s="380" t="s">
        <v>606</v>
      </c>
      <c r="S4" s="380" t="s">
        <v>586</v>
      </c>
      <c r="T4" s="380" t="s">
        <v>585</v>
      </c>
      <c r="U4" s="380" t="s">
        <v>319</v>
      </c>
      <c r="V4" s="389"/>
      <c r="W4" s="389" t="s">
        <v>581</v>
      </c>
      <c r="X4" s="386" t="s">
        <v>547</v>
      </c>
      <c r="AB4" s="323" t="s">
        <v>319</v>
      </c>
    </row>
    <row r="5" spans="1:28" ht="15" thickBot="1" x14ac:dyDescent="0.35">
      <c r="A5" s="260" t="s">
        <v>459</v>
      </c>
      <c r="B5" s="270" t="s">
        <v>15</v>
      </c>
      <c r="C5" s="270"/>
      <c r="D5" s="270"/>
      <c r="E5" s="270"/>
      <c r="F5" s="270"/>
      <c r="G5" s="270"/>
      <c r="H5" s="270"/>
      <c r="I5" s="270"/>
      <c r="J5" s="270"/>
      <c r="K5" s="270"/>
      <c r="L5" s="270"/>
      <c r="M5" s="270"/>
      <c r="N5" s="270"/>
      <c r="O5" s="285"/>
      <c r="S5" s="354"/>
      <c r="U5" s="58"/>
      <c r="X5" s="78"/>
    </row>
    <row r="6" spans="1:28" x14ac:dyDescent="0.3">
      <c r="A6" s="78" t="s">
        <v>18</v>
      </c>
      <c r="B6" s="79">
        <v>207299.73</v>
      </c>
      <c r="C6" s="79">
        <v>207299.73</v>
      </c>
      <c r="D6" s="79">
        <v>106241.11</v>
      </c>
      <c r="E6" s="79">
        <v>173613.53</v>
      </c>
      <c r="F6" s="79">
        <v>173613.53</v>
      </c>
      <c r="G6" s="79">
        <v>170508.97</v>
      </c>
      <c r="H6" s="79">
        <v>173096.1</v>
      </c>
      <c r="I6" s="79">
        <v>173096.1</v>
      </c>
      <c r="J6" s="79"/>
      <c r="K6" s="79"/>
      <c r="L6" s="79"/>
      <c r="M6" s="79"/>
      <c r="N6" s="79">
        <f>SUM(B6:M6)</f>
        <v>1384768.8</v>
      </c>
      <c r="O6" s="286" t="e">
        <f>N6/P6</f>
        <v>#VALUE!</v>
      </c>
      <c r="P6" s="79" t="e">
        <f>P2*P3</f>
        <v>#VALUE!</v>
      </c>
      <c r="Q6" s="79">
        <v>2060041</v>
      </c>
      <c r="R6" s="79">
        <v>2547648</v>
      </c>
      <c r="S6" s="79">
        <v>2396066</v>
      </c>
      <c r="T6" s="79">
        <v>1733349</v>
      </c>
      <c r="U6" s="79"/>
      <c r="V6" s="79"/>
      <c r="W6" s="79"/>
      <c r="X6" s="79">
        <f>X1*X2</f>
        <v>2056876.92</v>
      </c>
    </row>
    <row r="7" spans="1:28" x14ac:dyDescent="0.3">
      <c r="A7" s="78" t="s">
        <v>22</v>
      </c>
      <c r="B7" s="77"/>
      <c r="C7" s="77">
        <v>11574.5</v>
      </c>
      <c r="D7" s="77">
        <v>5787.25</v>
      </c>
      <c r="E7" s="77">
        <v>5787.25</v>
      </c>
      <c r="F7" s="77">
        <v>5787.25</v>
      </c>
      <c r="G7" s="77">
        <v>5787.25</v>
      </c>
      <c r="H7" s="77">
        <v>5787.25</v>
      </c>
      <c r="I7" s="77"/>
      <c r="J7" s="77"/>
      <c r="K7" s="77"/>
      <c r="L7" s="77"/>
      <c r="M7" s="77"/>
      <c r="N7" s="79">
        <f t="shared" ref="N7:N16" si="0">SUM(B7:M7)</f>
        <v>40510.75</v>
      </c>
      <c r="O7" s="286">
        <f>N7/P7</f>
        <v>0.51279430379746838</v>
      </c>
      <c r="P7" s="77">
        <f>'budget entry'!F7</f>
        <v>79000</v>
      </c>
      <c r="Q7" s="77">
        <v>77115</v>
      </c>
      <c r="R7" s="77">
        <v>98400</v>
      </c>
      <c r="S7" s="77">
        <v>78750</v>
      </c>
      <c r="T7" s="77">
        <v>59250</v>
      </c>
      <c r="U7" s="77"/>
      <c r="V7" s="77"/>
      <c r="W7" s="77"/>
      <c r="X7" s="102">
        <v>71250</v>
      </c>
    </row>
    <row r="8" spans="1:28" x14ac:dyDescent="0.3">
      <c r="A8" s="78" t="s">
        <v>433</v>
      </c>
      <c r="B8" s="77"/>
      <c r="C8" s="77"/>
      <c r="D8" s="77"/>
      <c r="E8" s="77"/>
      <c r="F8" s="77"/>
      <c r="G8" s="77"/>
      <c r="H8" s="77"/>
      <c r="I8" s="77"/>
      <c r="J8" s="77"/>
      <c r="K8" s="77"/>
      <c r="L8" s="77"/>
      <c r="M8" s="77"/>
      <c r="N8" s="79">
        <f t="shared" si="0"/>
        <v>0</v>
      </c>
      <c r="O8" s="286">
        <f>N8/P8</f>
        <v>0</v>
      </c>
      <c r="P8" s="77">
        <f>+'budget entry'!F22</f>
        <v>20000</v>
      </c>
      <c r="Q8" s="77">
        <v>37308</v>
      </c>
      <c r="R8" s="77">
        <v>37308</v>
      </c>
      <c r="S8" s="77">
        <v>37308</v>
      </c>
      <c r="T8" s="77">
        <v>37308</v>
      </c>
      <c r="U8" s="77"/>
      <c r="V8" s="77"/>
      <c r="W8" s="77"/>
      <c r="X8" s="79">
        <v>35000</v>
      </c>
    </row>
    <row r="9" spans="1:28" x14ac:dyDescent="0.3">
      <c r="A9" s="78" t="s">
        <v>212</v>
      </c>
      <c r="B9" s="77"/>
      <c r="C9" s="77"/>
      <c r="D9" s="77"/>
      <c r="E9" s="77"/>
      <c r="F9" s="77"/>
      <c r="G9" s="77"/>
      <c r="H9" s="77"/>
      <c r="I9" s="77"/>
      <c r="J9" s="77"/>
      <c r="K9" s="77"/>
      <c r="L9" s="77"/>
      <c r="M9" s="77"/>
      <c r="N9" s="79">
        <f t="shared" si="0"/>
        <v>0</v>
      </c>
      <c r="O9" s="286" t="s">
        <v>15</v>
      </c>
      <c r="P9" s="77"/>
      <c r="Q9" s="77"/>
      <c r="R9" s="77"/>
      <c r="S9" s="77"/>
      <c r="T9" s="77"/>
      <c r="U9" s="77"/>
      <c r="V9" s="77"/>
      <c r="W9" s="77"/>
      <c r="X9" s="79">
        <v>0</v>
      </c>
    </row>
    <row r="10" spans="1:28" x14ac:dyDescent="0.3">
      <c r="A10" s="78" t="s">
        <v>460</v>
      </c>
      <c r="B10" s="77"/>
      <c r="C10" s="77"/>
      <c r="D10" s="77"/>
      <c r="E10" s="77"/>
      <c r="F10" s="77"/>
      <c r="G10" s="77"/>
      <c r="H10" s="77"/>
      <c r="I10" s="77"/>
      <c r="J10" s="77"/>
      <c r="K10" s="77"/>
      <c r="L10" s="77"/>
      <c r="M10" s="77"/>
      <c r="N10" s="79">
        <f t="shared" si="0"/>
        <v>0</v>
      </c>
      <c r="O10" s="286" t="e">
        <f>N10/P10</f>
        <v>#DIV/0!</v>
      </c>
      <c r="P10" s="77">
        <f>+'budget entry'!F23</f>
        <v>0</v>
      </c>
      <c r="Q10" s="77">
        <v>30000</v>
      </c>
      <c r="R10" s="77">
        <v>35000</v>
      </c>
      <c r="S10" s="77">
        <f>+[3]Combined!G23</f>
        <v>0</v>
      </c>
      <c r="T10" s="77">
        <f>+'budget entry'!G23</f>
        <v>87000</v>
      </c>
      <c r="U10" s="77"/>
      <c r="V10" s="77"/>
      <c r="W10" s="77"/>
    </row>
    <row r="11" spans="1:28" ht="28.8" x14ac:dyDescent="0.3">
      <c r="A11" s="78" t="s">
        <v>565</v>
      </c>
      <c r="B11" s="77">
        <f>233+1200</f>
        <v>1433</v>
      </c>
      <c r="C11" s="77">
        <f>1562+34343.25</f>
        <v>35905.25</v>
      </c>
      <c r="D11" s="77">
        <f>177.5+2030.09</f>
        <v>2207.59</v>
      </c>
      <c r="E11" s="77">
        <f>1190.5+6898.52+1862</f>
        <v>9951.02</v>
      </c>
      <c r="F11" s="77">
        <f>302.5+680.25</f>
        <v>982.75</v>
      </c>
      <c r="G11" s="77">
        <f>90+145.5</f>
        <v>235.5</v>
      </c>
      <c r="H11" s="77">
        <f>330+304.76+371.3</f>
        <v>1006.06</v>
      </c>
      <c r="I11" s="77">
        <f>345+579</f>
        <v>924</v>
      </c>
      <c r="J11" s="77"/>
      <c r="K11" s="77"/>
      <c r="L11" s="77"/>
      <c r="M11" s="77"/>
      <c r="N11" s="79">
        <f t="shared" si="0"/>
        <v>52645.17</v>
      </c>
      <c r="O11" s="286" t="e">
        <f>N11/P11</f>
        <v>#DIV/0!</v>
      </c>
      <c r="P11" s="77">
        <f>+'budget entry'!F18+'budget entry'!F8</f>
        <v>0</v>
      </c>
      <c r="Q11" s="77">
        <v>53620</v>
      </c>
      <c r="R11" s="77">
        <v>53620</v>
      </c>
      <c r="S11" s="77">
        <f>8000+6278+40000</f>
        <v>54278</v>
      </c>
      <c r="T11" s="77">
        <v>44000</v>
      </c>
      <c r="U11" s="77" t="s">
        <v>564</v>
      </c>
      <c r="V11" s="77"/>
      <c r="W11" s="77"/>
      <c r="X11" s="78">
        <v>23000</v>
      </c>
    </row>
    <row r="12" spans="1:28" ht="21.75" customHeight="1" x14ac:dyDescent="0.3">
      <c r="A12" s="78" t="s">
        <v>25</v>
      </c>
      <c r="B12" s="77">
        <f>7.77+299</f>
        <v>306.77</v>
      </c>
      <c r="C12" s="77">
        <f>4587.2+8.32</f>
        <v>4595.5199999999995</v>
      </c>
      <c r="D12" s="77">
        <f>74.15+9.11+256</f>
        <v>339.26</v>
      </c>
      <c r="E12" s="77">
        <f>94.33+5.22</f>
        <v>99.55</v>
      </c>
      <c r="F12" s="77">
        <f>1824.23+2.57+984.1</f>
        <v>2810.9</v>
      </c>
      <c r="G12" s="77">
        <f>1877.15+1396.53+3.37</f>
        <v>3277.05</v>
      </c>
      <c r="H12" s="77">
        <v>3.39</v>
      </c>
      <c r="I12" s="77">
        <f>3.06+54</f>
        <v>57.06</v>
      </c>
      <c r="J12" s="77"/>
      <c r="K12" s="77"/>
      <c r="L12" s="77"/>
      <c r="M12" s="77"/>
      <c r="N12" s="79">
        <f t="shared" si="0"/>
        <v>11489.499999999998</v>
      </c>
      <c r="O12" s="286" t="e">
        <f>N12/P12</f>
        <v>#DIV/0!</v>
      </c>
      <c r="P12" s="77">
        <f>+'budget entry'!F20</f>
        <v>0</v>
      </c>
      <c r="Q12" s="77">
        <v>8000</v>
      </c>
      <c r="R12" s="77">
        <v>7329</v>
      </c>
      <c r="T12" s="77">
        <v>500</v>
      </c>
      <c r="U12" s="77" t="s">
        <v>569</v>
      </c>
      <c r="V12" s="77"/>
      <c r="W12" s="77"/>
      <c r="X12" s="107">
        <v>50</v>
      </c>
      <c r="AB12" t="s">
        <v>646</v>
      </c>
    </row>
    <row r="13" spans="1:28" ht="19.5" customHeight="1" x14ac:dyDescent="0.3">
      <c r="A13" s="78" t="s">
        <v>580</v>
      </c>
      <c r="B13" s="77"/>
      <c r="C13" s="77"/>
      <c r="D13" s="77"/>
      <c r="E13" s="77"/>
      <c r="F13" s="77"/>
      <c r="G13" s="77"/>
      <c r="H13" s="77"/>
      <c r="I13" s="77"/>
      <c r="J13" s="77"/>
      <c r="K13" s="77"/>
      <c r="L13" s="77"/>
      <c r="M13" s="77"/>
      <c r="N13" s="79">
        <f t="shared" si="0"/>
        <v>0</v>
      </c>
      <c r="O13" s="286"/>
      <c r="P13" s="77"/>
      <c r="Q13" s="77"/>
      <c r="R13" s="77"/>
      <c r="S13" s="77">
        <v>0</v>
      </c>
      <c r="T13" s="77"/>
      <c r="U13" s="77" t="s">
        <v>584</v>
      </c>
      <c r="V13" s="77"/>
      <c r="W13" s="77"/>
      <c r="X13" s="107"/>
    </row>
    <row r="14" spans="1:28" x14ac:dyDescent="0.3">
      <c r="A14" s="78" t="s">
        <v>579</v>
      </c>
      <c r="B14" s="77"/>
      <c r="C14" s="77"/>
      <c r="D14" s="77"/>
      <c r="E14" s="77"/>
      <c r="F14" s="77"/>
      <c r="G14" s="77"/>
      <c r="H14" s="77"/>
      <c r="I14" s="77"/>
      <c r="J14" s="77"/>
      <c r="K14" s="77"/>
      <c r="L14" s="77"/>
      <c r="M14" s="77"/>
      <c r="N14" s="79">
        <f t="shared" si="0"/>
        <v>0</v>
      </c>
      <c r="O14" s="286"/>
      <c r="P14" s="77"/>
      <c r="Q14" s="77"/>
      <c r="R14" s="77"/>
      <c r="S14" s="77"/>
      <c r="T14" s="77"/>
      <c r="U14" s="77"/>
      <c r="V14" s="77"/>
      <c r="W14" s="77"/>
      <c r="X14" s="107"/>
    </row>
    <row r="15" spans="1:28" ht="12" customHeight="1" x14ac:dyDescent="0.3">
      <c r="A15" s="78" t="s">
        <v>626</v>
      </c>
      <c r="B15" s="77"/>
      <c r="C15" s="77">
        <f>8750+300</f>
        <v>9050</v>
      </c>
      <c r="D15" s="77">
        <v>362.91</v>
      </c>
      <c r="E15" s="77">
        <v>3952.38</v>
      </c>
      <c r="F15" s="77">
        <f>13242.34</f>
        <v>13242.34</v>
      </c>
      <c r="G15" s="77"/>
      <c r="H15" s="77">
        <f>2699.82-11125.27</f>
        <v>-8425.4500000000007</v>
      </c>
      <c r="I15" s="77">
        <f>9826.07-614</f>
        <v>9212.07</v>
      </c>
      <c r="J15" s="77"/>
      <c r="K15" s="77"/>
      <c r="L15" s="77"/>
      <c r="M15" s="77"/>
      <c r="N15" s="79">
        <f t="shared" si="0"/>
        <v>27394.25</v>
      </c>
      <c r="O15" s="286" t="s">
        <v>15</v>
      </c>
      <c r="P15" s="77">
        <f>+'budget entry'!G24+'budget entry'!F25</f>
        <v>864941.72</v>
      </c>
      <c r="Q15" s="77">
        <v>80000</v>
      </c>
      <c r="R15" s="77">
        <f>+'budget entry'!H24</f>
        <v>0</v>
      </c>
      <c r="S15" s="77">
        <v>0</v>
      </c>
      <c r="T15" s="77">
        <v>290000</v>
      </c>
      <c r="U15" s="77"/>
      <c r="V15" s="77"/>
      <c r="W15" s="77"/>
      <c r="X15" s="107"/>
      <c r="AB15" s="172" t="s">
        <v>655</v>
      </c>
    </row>
    <row r="16" spans="1:28" x14ac:dyDescent="0.3">
      <c r="A16" s="78" t="s">
        <v>643</v>
      </c>
      <c r="B16" s="81"/>
      <c r="C16" s="81"/>
      <c r="D16" s="81"/>
      <c r="E16" s="81"/>
      <c r="F16" s="81"/>
      <c r="G16" s="81"/>
      <c r="H16" s="81">
        <v>11125.27</v>
      </c>
      <c r="I16" s="81">
        <f>254.3+61+299</f>
        <v>614.29999999999995</v>
      </c>
      <c r="J16" s="81"/>
      <c r="K16" s="81"/>
      <c r="L16" s="81"/>
      <c r="M16" s="81"/>
      <c r="N16" s="103">
        <f t="shared" si="0"/>
        <v>11739.57</v>
      </c>
      <c r="O16" s="286"/>
      <c r="P16" s="81">
        <f>+'budget entry'!F27</f>
        <v>48864</v>
      </c>
      <c r="Q16" s="81">
        <v>1000</v>
      </c>
      <c r="R16" s="81">
        <v>0</v>
      </c>
      <c r="S16" s="81">
        <v>0</v>
      </c>
      <c r="T16" s="81">
        <v>215000</v>
      </c>
      <c r="U16" s="77"/>
      <c r="V16" s="77"/>
      <c r="W16" s="77"/>
      <c r="X16" s="107">
        <v>215000</v>
      </c>
      <c r="AB16" t="s">
        <v>15</v>
      </c>
    </row>
    <row r="17" spans="1:30" ht="15" thickBot="1" x14ac:dyDescent="0.35">
      <c r="A17" s="316" t="s">
        <v>493</v>
      </c>
      <c r="B17" s="316">
        <f t="shared" ref="B17:N17" si="1">SUM(B6:B16)</f>
        <v>209039.5</v>
      </c>
      <c r="C17" s="316">
        <f t="shared" si="1"/>
        <v>268425</v>
      </c>
      <c r="D17" s="316">
        <f t="shared" si="1"/>
        <v>114938.12</v>
      </c>
      <c r="E17" s="316">
        <f t="shared" si="1"/>
        <v>193403.72999999998</v>
      </c>
      <c r="F17" s="316">
        <f t="shared" si="1"/>
        <v>196436.77</v>
      </c>
      <c r="G17" s="316">
        <f t="shared" si="1"/>
        <v>179808.77</v>
      </c>
      <c r="H17" s="316">
        <f t="shared" si="1"/>
        <v>182592.62</v>
      </c>
      <c r="I17" s="316">
        <f t="shared" si="1"/>
        <v>183903.53</v>
      </c>
      <c r="J17" s="316">
        <f t="shared" si="1"/>
        <v>0</v>
      </c>
      <c r="K17" s="316">
        <f t="shared" si="1"/>
        <v>0</v>
      </c>
      <c r="L17" s="316">
        <f t="shared" si="1"/>
        <v>0</v>
      </c>
      <c r="M17" s="316">
        <f t="shared" si="1"/>
        <v>0</v>
      </c>
      <c r="N17" s="316">
        <f t="shared" si="1"/>
        <v>1528548.04</v>
      </c>
      <c r="O17" s="325" t="e">
        <f>N17/P17</f>
        <v>#VALUE!</v>
      </c>
      <c r="P17" s="316" t="e">
        <f>SUM(P6:P16)</f>
        <v>#VALUE!</v>
      </c>
      <c r="Q17" s="316">
        <f>SUM(Q6:Q16)</f>
        <v>2347084</v>
      </c>
      <c r="R17" s="316">
        <f>SUM(R6:R16)</f>
        <v>2779305</v>
      </c>
      <c r="S17" s="316">
        <f>SUM(S6:S16)</f>
        <v>2566402</v>
      </c>
      <c r="T17" s="316">
        <f>SUM(T6:T16)</f>
        <v>2466407</v>
      </c>
      <c r="U17" s="55"/>
      <c r="V17" s="55"/>
      <c r="W17" s="55"/>
      <c r="X17" s="108">
        <f>SUM(X6:X16)</f>
        <v>2401176.92</v>
      </c>
      <c r="AB17" s="459" t="s">
        <v>15</v>
      </c>
    </row>
    <row r="18" spans="1:30" ht="15.6" thickTop="1" thickBot="1" x14ac:dyDescent="0.35">
      <c r="A18" s="260" t="s">
        <v>463</v>
      </c>
      <c r="B18" s="259"/>
      <c r="C18" s="259"/>
      <c r="D18" s="259"/>
      <c r="E18" s="259"/>
      <c r="F18" s="259"/>
      <c r="G18" s="259"/>
      <c r="H18" s="259"/>
      <c r="I18" s="259"/>
      <c r="J18" s="259"/>
      <c r="K18" s="259"/>
      <c r="L18" s="259"/>
      <c r="M18" s="259"/>
      <c r="N18" s="259"/>
      <c r="O18" s="288"/>
      <c r="P18" s="259"/>
      <c r="Q18" s="259"/>
      <c r="R18" s="259"/>
      <c r="S18" s="259"/>
      <c r="T18" s="259"/>
      <c r="U18" s="378"/>
      <c r="V18" s="378"/>
      <c r="W18" s="378"/>
      <c r="X18" s="78"/>
    </row>
    <row r="19" spans="1:30" x14ac:dyDescent="0.3">
      <c r="A19" s="261" t="s">
        <v>30</v>
      </c>
      <c r="B19" s="262"/>
      <c r="C19" s="262"/>
      <c r="D19" s="262"/>
      <c r="E19" s="262"/>
      <c r="F19" s="262"/>
      <c r="G19" s="262"/>
      <c r="H19" s="262"/>
      <c r="I19" s="262"/>
      <c r="J19" s="262"/>
      <c r="K19" s="262"/>
      <c r="L19" s="262"/>
      <c r="M19" s="262"/>
      <c r="N19" s="262"/>
      <c r="P19" s="262"/>
      <c r="Q19" s="262"/>
      <c r="R19" s="262"/>
      <c r="S19" s="259"/>
      <c r="T19" s="262"/>
      <c r="U19" s="76"/>
      <c r="V19" s="76"/>
      <c r="W19" s="76"/>
      <c r="X19" s="78"/>
    </row>
    <row r="20" spans="1:30" x14ac:dyDescent="0.3">
      <c r="A20" s="102" t="s">
        <v>1</v>
      </c>
      <c r="B20" s="262"/>
      <c r="C20" s="262"/>
      <c r="D20" s="262"/>
      <c r="E20" s="262"/>
      <c r="F20" s="262"/>
      <c r="G20" s="262"/>
      <c r="H20" s="262"/>
      <c r="I20" s="262"/>
      <c r="J20" s="262"/>
      <c r="K20" s="262"/>
      <c r="L20" s="262"/>
      <c r="M20" s="262"/>
      <c r="N20" s="262"/>
      <c r="P20" s="262"/>
      <c r="Q20" s="262"/>
      <c r="R20" s="262"/>
      <c r="S20" s="262"/>
      <c r="T20" s="262"/>
      <c r="U20" s="76"/>
      <c r="V20" s="76"/>
      <c r="W20" s="76"/>
      <c r="X20" s="78"/>
    </row>
    <row r="21" spans="1:30" x14ac:dyDescent="0.3">
      <c r="A21" s="78" t="s">
        <v>111</v>
      </c>
      <c r="B21" s="78">
        <v>42298.080000000002</v>
      </c>
      <c r="C21" s="78">
        <f>43543.58+5441.42+3000</f>
        <v>51985</v>
      </c>
      <c r="D21" s="78">
        <f>52590.95-2100</f>
        <v>50490.95</v>
      </c>
      <c r="E21" s="78">
        <f>42551.73+6425.42+3000</f>
        <v>51977.15</v>
      </c>
      <c r="F21" s="78">
        <f>50541.24-1060</f>
        <v>49481.24</v>
      </c>
      <c r="G21" s="78">
        <f>49041.97+3913.42+3000</f>
        <v>55955.39</v>
      </c>
      <c r="H21" s="78">
        <f>3000+3913.41+43594.02</f>
        <v>50507.429999999993</v>
      </c>
      <c r="I21" s="78"/>
      <c r="J21" s="78"/>
      <c r="K21" s="78"/>
      <c r="L21" s="78"/>
      <c r="M21" s="78"/>
      <c r="N21" s="79">
        <f>SUM(B21:M21)</f>
        <v>352695.24</v>
      </c>
      <c r="O21" s="289" t="e">
        <f>N21/P21</f>
        <v>#DIV/0!</v>
      </c>
      <c r="P21" s="78">
        <f>+'budget entry'!F33</f>
        <v>0</v>
      </c>
      <c r="Q21" s="78">
        <v>598455</v>
      </c>
      <c r="R21" s="78">
        <v>699639</v>
      </c>
      <c r="S21" s="78">
        <v>715864</v>
      </c>
      <c r="T21" s="78">
        <v>507043</v>
      </c>
      <c r="U21" s="79"/>
      <c r="V21" s="79"/>
      <c r="W21" s="79"/>
      <c r="X21" s="78">
        <v>584084</v>
      </c>
    </row>
    <row r="22" spans="1:30" ht="15.75" customHeight="1" x14ac:dyDescent="0.3">
      <c r="A22" s="78" t="s">
        <v>112</v>
      </c>
      <c r="B22" s="78"/>
      <c r="C22" s="78">
        <v>377.5</v>
      </c>
      <c r="D22" s="103">
        <v>2100</v>
      </c>
      <c r="E22" s="103">
        <v>1895</v>
      </c>
      <c r="F22" s="103">
        <v>1060</v>
      </c>
      <c r="G22" s="103">
        <v>940</v>
      </c>
      <c r="H22" s="103">
        <f>320+405.03</f>
        <v>725.03</v>
      </c>
      <c r="I22" s="103"/>
      <c r="J22" s="103"/>
      <c r="K22" s="103"/>
      <c r="L22" s="103"/>
      <c r="M22" s="103"/>
      <c r="N22" s="103">
        <f>SUM(B22:M22)</f>
        <v>7097.53</v>
      </c>
      <c r="O22" s="289">
        <f>N22/P22</f>
        <v>9.5268859060402677E-3</v>
      </c>
      <c r="P22" s="103">
        <f>+'budget entry'!F34</f>
        <v>745000</v>
      </c>
      <c r="Q22" s="103">
        <v>5000</v>
      </c>
      <c r="R22" s="103">
        <v>5000</v>
      </c>
      <c r="S22" s="78">
        <v>4000</v>
      </c>
      <c r="T22" s="78">
        <v>3000</v>
      </c>
      <c r="U22" s="79"/>
      <c r="V22" s="79"/>
      <c r="W22" s="79"/>
      <c r="X22" s="78">
        <f>'[1]17-18 CMO'!L6</f>
        <v>0</v>
      </c>
    </row>
    <row r="23" spans="1:30" x14ac:dyDescent="0.3">
      <c r="A23" s="78" t="s">
        <v>114</v>
      </c>
      <c r="B23" s="77">
        <f t="shared" ref="B23:N23" si="2">SUM(B21:B22)</f>
        <v>42298.080000000002</v>
      </c>
      <c r="C23" s="77">
        <f t="shared" si="2"/>
        <v>52362.5</v>
      </c>
      <c r="D23" s="77">
        <f t="shared" si="2"/>
        <v>52590.95</v>
      </c>
      <c r="E23" s="77">
        <f t="shared" si="2"/>
        <v>53872.15</v>
      </c>
      <c r="F23" s="77">
        <f t="shared" si="2"/>
        <v>50541.24</v>
      </c>
      <c r="G23" s="77">
        <f t="shared" si="2"/>
        <v>56895.39</v>
      </c>
      <c r="H23" s="77">
        <f t="shared" si="2"/>
        <v>51232.459999999992</v>
      </c>
      <c r="I23" s="77">
        <f t="shared" si="2"/>
        <v>0</v>
      </c>
      <c r="J23" s="77">
        <f t="shared" si="2"/>
        <v>0</v>
      </c>
      <c r="K23" s="77">
        <f t="shared" si="2"/>
        <v>0</v>
      </c>
      <c r="L23" s="77">
        <f t="shared" si="2"/>
        <v>0</v>
      </c>
      <c r="M23" s="77">
        <f t="shared" si="2"/>
        <v>0</v>
      </c>
      <c r="N23" s="77">
        <f t="shared" si="2"/>
        <v>359792.77</v>
      </c>
      <c r="O23" s="289">
        <f>N23/P23</f>
        <v>0.48294331543624164</v>
      </c>
      <c r="P23" s="77">
        <f>SUM(P21:P22)</f>
        <v>745000</v>
      </c>
      <c r="Q23" s="77">
        <f>SUM(Q21:Q22)</f>
        <v>603455</v>
      </c>
      <c r="R23" s="77">
        <f>SUM(R21:R22)</f>
        <v>704639</v>
      </c>
      <c r="S23" s="77">
        <f>SUM(S21:S22)</f>
        <v>719864</v>
      </c>
      <c r="T23" s="77">
        <f>SUM(T21:T22)</f>
        <v>510043</v>
      </c>
      <c r="U23" s="77"/>
      <c r="V23" s="77"/>
      <c r="W23" s="77"/>
      <c r="X23" s="78">
        <f>SUM(X21:X22)</f>
        <v>584084</v>
      </c>
    </row>
    <row r="24" spans="1:30" x14ac:dyDescent="0.3">
      <c r="A24" s="78" t="s">
        <v>497</v>
      </c>
      <c r="B24" s="82">
        <v>14827.79</v>
      </c>
      <c r="C24" s="82">
        <v>19953.48</v>
      </c>
      <c r="D24" s="82">
        <v>19964.560000000001</v>
      </c>
      <c r="E24" s="82">
        <v>19811.14</v>
      </c>
      <c r="F24" s="82">
        <v>19547.55</v>
      </c>
      <c r="G24" s="82">
        <v>19713.93</v>
      </c>
      <c r="H24" s="82">
        <v>18410.16</v>
      </c>
      <c r="I24" s="82"/>
      <c r="J24" s="82"/>
      <c r="K24" s="82"/>
      <c r="L24" s="82"/>
      <c r="M24" s="82"/>
      <c r="N24" s="79">
        <f>SUM(B24:M24)</f>
        <v>132228.61000000002</v>
      </c>
      <c r="O24" s="289">
        <f>N24/P24</f>
        <v>0.71090650537634414</v>
      </c>
      <c r="P24" s="82">
        <f>+'budget entry'!F42</f>
        <v>186000</v>
      </c>
      <c r="Q24" s="82">
        <v>281950</v>
      </c>
      <c r="R24" s="82">
        <v>342995</v>
      </c>
      <c r="S24" s="76">
        <f>10380+144247+185000</f>
        <v>339627</v>
      </c>
      <c r="T24" s="82">
        <v>273120</v>
      </c>
      <c r="U24" s="77" t="s">
        <v>15</v>
      </c>
      <c r="V24" s="77"/>
      <c r="W24" s="77"/>
      <c r="X24" s="82">
        <f>7600+116500+169500</f>
        <v>293600</v>
      </c>
      <c r="AC24" s="463">
        <f>(H24*5)+N24</f>
        <v>224279.41000000003</v>
      </c>
      <c r="AD24" s="463">
        <f>+P24-AC24</f>
        <v>-38279.410000000033</v>
      </c>
    </row>
    <row r="25" spans="1:30" x14ac:dyDescent="0.3">
      <c r="A25" s="78" t="s">
        <v>82</v>
      </c>
      <c r="B25" s="77">
        <v>1801.76</v>
      </c>
      <c r="C25" s="77">
        <v>1801.76</v>
      </c>
      <c r="D25" s="77">
        <v>1801.76</v>
      </c>
      <c r="E25" s="77">
        <v>2556.66</v>
      </c>
      <c r="F25" s="77">
        <v>1801.76</v>
      </c>
      <c r="G25" s="77">
        <v>1801.76</v>
      </c>
      <c r="H25" s="77">
        <v>1801.76</v>
      </c>
      <c r="I25" s="77"/>
      <c r="J25" s="77"/>
      <c r="K25" s="77"/>
      <c r="L25" s="77"/>
      <c r="M25" s="77"/>
      <c r="N25" s="79">
        <f t="shared" ref="N25:N30" si="3">SUM(B25:M25)</f>
        <v>13367.22</v>
      </c>
      <c r="O25" s="289">
        <f>N25/P25</f>
        <v>0.6565109768675409</v>
      </c>
      <c r="P25" s="77">
        <f>+'budget entry'!F44</f>
        <v>20361</v>
      </c>
      <c r="Q25" s="77">
        <v>24000</v>
      </c>
      <c r="R25" s="77">
        <v>24000</v>
      </c>
      <c r="S25" s="76">
        <v>24000</v>
      </c>
      <c r="T25" s="77">
        <v>24000</v>
      </c>
      <c r="U25" s="77"/>
      <c r="V25" s="77"/>
      <c r="W25" s="77"/>
      <c r="X25" s="82">
        <v>20000</v>
      </c>
    </row>
    <row r="26" spans="1:30" x14ac:dyDescent="0.3">
      <c r="A26" s="78" t="s">
        <v>501</v>
      </c>
      <c r="B26" s="77"/>
      <c r="C26" s="77">
        <v>0</v>
      </c>
      <c r="D26" s="77"/>
      <c r="E26" s="77"/>
      <c r="F26" s="77"/>
      <c r="G26" s="77"/>
      <c r="H26" s="77"/>
      <c r="I26" s="77"/>
      <c r="J26" s="77"/>
      <c r="K26" s="77"/>
      <c r="L26" s="77"/>
      <c r="M26" s="77"/>
      <c r="N26" s="79">
        <f t="shared" si="3"/>
        <v>0</v>
      </c>
      <c r="O26" s="289"/>
      <c r="P26" s="77">
        <f>+'budget entry'!F43</f>
        <v>353958.17800000001</v>
      </c>
      <c r="Q26" s="77">
        <v>20361</v>
      </c>
      <c r="R26" s="77">
        <v>20361</v>
      </c>
      <c r="S26" s="76">
        <v>20361</v>
      </c>
      <c r="T26" s="77">
        <v>20361</v>
      </c>
      <c r="U26" s="77"/>
      <c r="V26" s="77"/>
      <c r="W26" s="77"/>
      <c r="X26" s="82"/>
    </row>
    <row r="27" spans="1:30" x14ac:dyDescent="0.3">
      <c r="A27" s="78" t="s">
        <v>455</v>
      </c>
      <c r="B27" s="77">
        <v>16055.47</v>
      </c>
      <c r="C27" s="77">
        <v>16055.47</v>
      </c>
      <c r="D27" s="77">
        <v>8228.43</v>
      </c>
      <c r="E27" s="77">
        <v>18847.54</v>
      </c>
      <c r="F27" s="77">
        <v>13813.84</v>
      </c>
      <c r="G27" s="77">
        <v>13504.57</v>
      </c>
      <c r="H27" s="77">
        <v>13762.29</v>
      </c>
      <c r="I27" s="77"/>
      <c r="J27" s="77"/>
      <c r="K27" s="77"/>
      <c r="L27" s="77"/>
      <c r="M27" s="77"/>
      <c r="N27" s="79">
        <f t="shared" si="3"/>
        <v>100267.61000000002</v>
      </c>
      <c r="O27" s="289">
        <f>N27/P27</f>
        <v>4.1778170833333341</v>
      </c>
      <c r="P27" s="77">
        <f>+'budget entry'!F45</f>
        <v>24000</v>
      </c>
      <c r="Q27" s="77">
        <v>172250</v>
      </c>
      <c r="R27" s="77">
        <v>213200</v>
      </c>
      <c r="S27" s="76">
        <v>154500</v>
      </c>
      <c r="T27" s="77">
        <v>154500</v>
      </c>
      <c r="U27" s="77"/>
      <c r="V27" s="77"/>
      <c r="W27" s="77"/>
      <c r="X27" s="82">
        <v>164000</v>
      </c>
    </row>
    <row r="28" spans="1:30" ht="16.5" customHeight="1" x14ac:dyDescent="0.3">
      <c r="A28" s="78" t="s">
        <v>276</v>
      </c>
      <c r="B28" s="77">
        <v>1299.8900000000001</v>
      </c>
      <c r="C28" s="77">
        <v>11944.44</v>
      </c>
      <c r="D28" s="77">
        <v>14623.85</v>
      </c>
      <c r="E28" s="77">
        <v>7113.32</v>
      </c>
      <c r="F28" s="77">
        <v>7089.78</v>
      </c>
      <c r="G28" s="77">
        <v>4697.26</v>
      </c>
      <c r="H28" s="77">
        <v>628.66999999999996</v>
      </c>
      <c r="I28" s="77"/>
      <c r="J28" s="77"/>
      <c r="K28" s="77"/>
      <c r="L28" s="77"/>
      <c r="M28" s="77"/>
      <c r="N28" s="79">
        <f t="shared" si="3"/>
        <v>47397.21</v>
      </c>
      <c r="O28" s="289">
        <f>N28/P28</f>
        <v>0.18180747986191023</v>
      </c>
      <c r="P28" s="77">
        <f>+'budget entry'!F46</f>
        <v>260700</v>
      </c>
      <c r="Q28" s="77">
        <v>43000</v>
      </c>
      <c r="R28" s="77">
        <v>25000</v>
      </c>
      <c r="S28" s="76">
        <v>45000</v>
      </c>
      <c r="T28" s="77">
        <v>35000</v>
      </c>
      <c r="U28" s="77" t="s">
        <v>583</v>
      </c>
      <c r="V28" s="77"/>
      <c r="W28" s="77"/>
      <c r="X28" s="82">
        <v>25000</v>
      </c>
    </row>
    <row r="29" spans="1:30" x14ac:dyDescent="0.3">
      <c r="A29" s="78" t="s">
        <v>85</v>
      </c>
      <c r="B29" s="77">
        <v>6288.76</v>
      </c>
      <c r="C29" s="77">
        <v>2092.6799999999998</v>
      </c>
      <c r="D29" s="77"/>
      <c r="E29" s="77"/>
      <c r="F29" s="77">
        <v>1306.3699999999999</v>
      </c>
      <c r="G29" s="77">
        <v>9.99</v>
      </c>
      <c r="H29" s="77">
        <v>162.25</v>
      </c>
      <c r="I29" s="77"/>
      <c r="J29" s="77"/>
      <c r="K29" s="77"/>
      <c r="L29" s="77"/>
      <c r="M29" s="77"/>
      <c r="N29" s="79">
        <f t="shared" si="3"/>
        <v>9860.0500000000011</v>
      </c>
      <c r="O29" s="289">
        <f>N29/P29</f>
        <v>0.17927363636363638</v>
      </c>
      <c r="P29" s="77">
        <f>+'budget entry'!F47</f>
        <v>55000</v>
      </c>
      <c r="Q29" s="77">
        <v>8381</v>
      </c>
      <c r="R29" s="77">
        <v>1000</v>
      </c>
      <c r="S29" s="51">
        <v>20000</v>
      </c>
      <c r="T29" s="77">
        <v>1000</v>
      </c>
      <c r="U29" s="77" t="s">
        <v>582</v>
      </c>
      <c r="V29" s="77"/>
      <c r="W29" s="77"/>
      <c r="X29" s="82">
        <v>0</v>
      </c>
    </row>
    <row r="30" spans="1:30" x14ac:dyDescent="0.3">
      <c r="A30" s="246" t="s">
        <v>599</v>
      </c>
      <c r="B30" s="81"/>
      <c r="C30" s="81"/>
      <c r="D30" s="81"/>
      <c r="E30" s="81"/>
      <c r="F30" s="81"/>
      <c r="G30" s="81"/>
      <c r="H30" s="81"/>
      <c r="I30" s="81"/>
      <c r="J30" s="81"/>
      <c r="K30" s="81"/>
      <c r="L30" s="81"/>
      <c r="M30" s="81"/>
      <c r="N30" s="103">
        <f t="shared" si="3"/>
        <v>0</v>
      </c>
      <c r="O30" s="289">
        <v>0</v>
      </c>
      <c r="P30" s="81">
        <f>+'budget entry'!F51</f>
        <v>23500</v>
      </c>
      <c r="Q30" s="81">
        <v>23500</v>
      </c>
      <c r="R30" s="81">
        <v>215000</v>
      </c>
      <c r="S30" s="66">
        <v>0</v>
      </c>
      <c r="T30" s="81">
        <v>215000</v>
      </c>
      <c r="U30" s="77"/>
      <c r="V30" s="77"/>
      <c r="W30" s="77"/>
      <c r="X30" s="81">
        <v>215000</v>
      </c>
      <c r="AB30" s="172" t="s">
        <v>644</v>
      </c>
    </row>
    <row r="31" spans="1:30" s="195" customFormat="1" x14ac:dyDescent="0.3">
      <c r="A31" s="60" t="s">
        <v>88</v>
      </c>
      <c r="B31" s="60">
        <f>SUM(B23:B30)</f>
        <v>82571.75</v>
      </c>
      <c r="C31" s="60">
        <f>SUM(C23:C30)</f>
        <v>104210.32999999999</v>
      </c>
      <c r="D31" s="60">
        <f>SUM(D23:D30)</f>
        <v>97209.549999999988</v>
      </c>
      <c r="E31" s="60">
        <f>SUM(E23:E30)</f>
        <v>102200.81000000003</v>
      </c>
      <c r="F31" s="60">
        <f t="shared" ref="F31:M31" si="4">SUM(F23:F30)</f>
        <v>94100.539999999979</v>
      </c>
      <c r="G31" s="60">
        <f t="shared" si="4"/>
        <v>96622.9</v>
      </c>
      <c r="H31" s="60">
        <f t="shared" si="4"/>
        <v>85997.589999999982</v>
      </c>
      <c r="I31" s="60">
        <f t="shared" si="4"/>
        <v>0</v>
      </c>
      <c r="J31" s="60">
        <f t="shared" si="4"/>
        <v>0</v>
      </c>
      <c r="K31" s="60">
        <f t="shared" si="4"/>
        <v>0</v>
      </c>
      <c r="L31" s="60">
        <f t="shared" si="4"/>
        <v>0</v>
      </c>
      <c r="M31" s="60">
        <f t="shared" si="4"/>
        <v>0</v>
      </c>
      <c r="N31" s="60">
        <f>SUM(N23:N30)</f>
        <v>662913.47</v>
      </c>
      <c r="O31" s="286">
        <f>N31/P31</f>
        <v>0.39730647315340595</v>
      </c>
      <c r="P31" s="60">
        <f>SUM(P23:P30)</f>
        <v>1668519.1780000001</v>
      </c>
      <c r="Q31" s="60">
        <f>SUM(Q23:Q30)</f>
        <v>1176897</v>
      </c>
      <c r="R31" s="60">
        <f>SUM(R23:R30)</f>
        <v>1546195</v>
      </c>
      <c r="S31" s="60">
        <f>SUM(S23:S30)</f>
        <v>1323352</v>
      </c>
      <c r="T31" s="60">
        <f>SUM(T23:T30)</f>
        <v>1233024</v>
      </c>
      <c r="U31" s="55"/>
      <c r="V31" s="55"/>
      <c r="W31" s="55"/>
      <c r="X31" s="105">
        <f>SUM(X23:X30)</f>
        <v>1301684</v>
      </c>
    </row>
    <row r="32" spans="1:30" s="195" customFormat="1" ht="8.4" customHeight="1" x14ac:dyDescent="0.3">
      <c r="A32" s="51"/>
      <c r="B32" s="51"/>
      <c r="C32" s="51"/>
      <c r="D32" s="51"/>
      <c r="E32" s="51"/>
      <c r="F32" s="51"/>
      <c r="G32" s="51"/>
      <c r="H32" s="51"/>
      <c r="I32" s="51"/>
      <c r="J32" s="51"/>
      <c r="K32" s="51"/>
      <c r="L32" s="51"/>
      <c r="M32" s="51"/>
      <c r="N32" s="51"/>
      <c r="O32" s="293"/>
      <c r="P32" s="51"/>
      <c r="Q32" s="51"/>
      <c r="R32" s="51"/>
      <c r="S32" s="51"/>
      <c r="T32" s="51"/>
      <c r="U32" s="58"/>
      <c r="V32" s="58"/>
      <c r="W32" s="58"/>
      <c r="X32" s="78"/>
    </row>
    <row r="33" spans="1:30" s="195" customFormat="1" x14ac:dyDescent="0.3">
      <c r="A33" s="128" t="s">
        <v>615</v>
      </c>
      <c r="B33" s="51"/>
      <c r="C33" s="51"/>
      <c r="D33" s="51"/>
      <c r="E33" s="51"/>
      <c r="F33" s="51"/>
      <c r="G33" s="51"/>
      <c r="H33" s="51"/>
      <c r="I33" s="51"/>
      <c r="J33" s="51"/>
      <c r="K33" s="51"/>
      <c r="L33" s="51"/>
      <c r="M33" s="51"/>
      <c r="N33" s="51"/>
      <c r="O33" s="293"/>
      <c r="P33" s="51"/>
      <c r="Q33" s="51"/>
      <c r="R33" s="51"/>
      <c r="S33" s="51"/>
      <c r="T33" s="51"/>
      <c r="U33" s="58"/>
      <c r="V33" s="58"/>
      <c r="W33" s="58"/>
      <c r="X33" s="212"/>
    </row>
    <row r="34" spans="1:30" s="195" customFormat="1" x14ac:dyDescent="0.3">
      <c r="A34" s="78" t="s">
        <v>120</v>
      </c>
      <c r="B34" s="79">
        <f>4221.28+2451</f>
        <v>6672.28</v>
      </c>
      <c r="C34" s="79">
        <f>3333.33+330+2451</f>
        <v>6114.33</v>
      </c>
      <c r="D34" s="79">
        <v>6107.66</v>
      </c>
      <c r="E34" s="79">
        <v>6107.66</v>
      </c>
      <c r="F34" s="79">
        <v>6107.67</v>
      </c>
      <c r="G34" s="79">
        <v>7316.97</v>
      </c>
      <c r="H34" s="79">
        <v>3209.33</v>
      </c>
      <c r="I34" s="79"/>
      <c r="J34" s="79"/>
      <c r="K34" s="79"/>
      <c r="L34" s="79"/>
      <c r="M34" s="79"/>
      <c r="N34" s="79">
        <f>SUM(B34:M34)</f>
        <v>41635.9</v>
      </c>
      <c r="O34" s="289">
        <f>N34/P34</f>
        <v>0.40813107747804267</v>
      </c>
      <c r="P34" s="79">
        <f>+'budget entry'!F55</f>
        <v>102016</v>
      </c>
      <c r="Q34" s="79">
        <v>77862</v>
      </c>
      <c r="R34" s="79">
        <v>50000</v>
      </c>
      <c r="S34" s="79">
        <v>50000</v>
      </c>
      <c r="T34" s="79">
        <v>48000</v>
      </c>
      <c r="U34" s="79"/>
      <c r="V34" s="79"/>
      <c r="W34" s="79"/>
      <c r="X34" s="79">
        <v>50600</v>
      </c>
      <c r="AB34" s="197" t="s">
        <v>15</v>
      </c>
    </row>
    <row r="35" spans="1:30" s="195" customFormat="1" x14ac:dyDescent="0.3">
      <c r="A35" s="78" t="s">
        <v>497</v>
      </c>
      <c r="B35" s="77">
        <f>1196.92+1056</f>
        <v>2252.92</v>
      </c>
      <c r="C35" s="77">
        <f>730.01+1056</f>
        <v>1786.01</v>
      </c>
      <c r="D35" s="77">
        <v>1891.64</v>
      </c>
      <c r="E35" s="77">
        <v>1891.64</v>
      </c>
      <c r="F35" s="77">
        <v>1891.64</v>
      </c>
      <c r="G35" s="77">
        <v>2154.67</v>
      </c>
      <c r="H35" s="77">
        <v>1267.52</v>
      </c>
      <c r="I35" s="77"/>
      <c r="J35" s="77"/>
      <c r="K35" s="77"/>
      <c r="L35" s="77"/>
      <c r="M35" s="77"/>
      <c r="N35" s="79">
        <f>SUM(B35:M35)</f>
        <v>13136.04</v>
      </c>
      <c r="O35" s="289">
        <f>N35/P35</f>
        <v>0.22535474736739247</v>
      </c>
      <c r="P35" s="77">
        <f>+'budget entry'!F56+'budget entry'!F57+'budget entry'!F58</f>
        <v>58290.495999999999</v>
      </c>
      <c r="Q35" s="77">
        <v>33580</v>
      </c>
      <c r="R35" s="77">
        <v>18929</v>
      </c>
      <c r="S35" s="77">
        <f>725+10075+8505</f>
        <v>19305</v>
      </c>
      <c r="T35" s="77">
        <v>20070</v>
      </c>
      <c r="U35" s="77" t="s">
        <v>15</v>
      </c>
      <c r="V35" s="77"/>
      <c r="W35" s="77"/>
      <c r="X35" s="79">
        <f>653+9000+8462</f>
        <v>18115</v>
      </c>
      <c r="AC35" s="463">
        <f>(H35*5)+N35</f>
        <v>19473.64</v>
      </c>
      <c r="AD35" s="463">
        <f>+P35-AC35</f>
        <v>38816.856</v>
      </c>
    </row>
    <row r="36" spans="1:30" s="195" customFormat="1" x14ac:dyDescent="0.3">
      <c r="A36" s="78" t="s">
        <v>466</v>
      </c>
      <c r="B36" s="77"/>
      <c r="C36" s="77"/>
      <c r="D36" s="77"/>
      <c r="E36" s="77"/>
      <c r="F36" s="77"/>
      <c r="G36" s="77"/>
      <c r="H36" s="77"/>
      <c r="I36" s="77"/>
      <c r="J36" s="77"/>
      <c r="K36" s="77"/>
      <c r="L36" s="77"/>
      <c r="M36" s="77"/>
      <c r="N36" s="79">
        <f>SUM(B36:M36)</f>
        <v>0</v>
      </c>
      <c r="O36" s="289" t="e">
        <f>N36/P36</f>
        <v>#DIV/0!</v>
      </c>
      <c r="P36" s="77">
        <f>+'budget entry'!F60</f>
        <v>0</v>
      </c>
      <c r="Q36" s="77">
        <v>5000</v>
      </c>
      <c r="R36" s="77">
        <v>5000</v>
      </c>
      <c r="S36" s="77">
        <v>5000</v>
      </c>
      <c r="T36" s="77">
        <v>5000</v>
      </c>
      <c r="U36" s="77"/>
      <c r="V36" s="77"/>
      <c r="W36" s="77"/>
      <c r="X36" s="79"/>
    </row>
    <row r="37" spans="1:30" s="195" customFormat="1" x14ac:dyDescent="0.3">
      <c r="A37" s="78" t="s">
        <v>75</v>
      </c>
      <c r="B37" s="77"/>
      <c r="C37" s="77"/>
      <c r="D37" s="77"/>
      <c r="E37" s="77"/>
      <c r="F37" s="77"/>
      <c r="G37" s="77"/>
      <c r="H37" s="77"/>
      <c r="I37" s="77"/>
      <c r="J37" s="77"/>
      <c r="K37" s="77"/>
      <c r="L37" s="77"/>
      <c r="M37" s="77"/>
      <c r="N37" s="79">
        <f>SUM(B37:M37)</f>
        <v>0</v>
      </c>
      <c r="O37" s="289" t="s">
        <v>15</v>
      </c>
      <c r="P37" s="77">
        <f>+'budget entry'!F61</f>
        <v>10000</v>
      </c>
      <c r="Q37" s="77">
        <v>0</v>
      </c>
      <c r="R37" s="77">
        <v>0</v>
      </c>
      <c r="S37" s="77">
        <v>0</v>
      </c>
      <c r="T37" s="77">
        <v>0</v>
      </c>
      <c r="U37" s="77"/>
      <c r="V37" s="77"/>
      <c r="W37" s="77"/>
      <c r="X37" s="79">
        <v>0</v>
      </c>
    </row>
    <row r="38" spans="1:30" s="195" customFormat="1" x14ac:dyDescent="0.3">
      <c r="A38" s="78" t="s">
        <v>469</v>
      </c>
      <c r="B38" s="81">
        <v>0</v>
      </c>
      <c r="C38" s="81"/>
      <c r="D38" s="81"/>
      <c r="E38" s="81">
        <v>595.6</v>
      </c>
      <c r="F38" s="81"/>
      <c r="G38" s="81"/>
      <c r="H38" s="81"/>
      <c r="I38" s="81"/>
      <c r="J38" s="81"/>
      <c r="K38" s="81"/>
      <c r="L38" s="81"/>
      <c r="M38" s="81"/>
      <c r="N38" s="103">
        <f>SUM(B38:M38)</f>
        <v>595.6</v>
      </c>
      <c r="O38" s="289" t="e">
        <f>N38/P38</f>
        <v>#DIV/0!</v>
      </c>
      <c r="P38" s="81">
        <f>+'budget entry'!F66</f>
        <v>0</v>
      </c>
      <c r="Q38" s="81">
        <v>2000</v>
      </c>
      <c r="R38" s="81">
        <v>5000</v>
      </c>
      <c r="S38" s="81">
        <v>5000</v>
      </c>
      <c r="T38" s="81">
        <v>5000</v>
      </c>
      <c r="U38" s="77"/>
      <c r="V38" s="77"/>
      <c r="W38" s="77"/>
      <c r="X38" s="77">
        <v>0</v>
      </c>
    </row>
    <row r="39" spans="1:30" s="195" customFormat="1" x14ac:dyDescent="0.3">
      <c r="A39" s="60" t="s">
        <v>615</v>
      </c>
      <c r="B39" s="60">
        <f t="shared" ref="B39:N39" si="5">SUM(B34:B38)</f>
        <v>8925.2000000000007</v>
      </c>
      <c r="C39" s="60">
        <f>SUM(C34:C38)</f>
        <v>7900.34</v>
      </c>
      <c r="D39" s="60">
        <f>SUM(D34:D38)</f>
        <v>7999.3</v>
      </c>
      <c r="E39" s="60">
        <f t="shared" si="5"/>
        <v>8594.9</v>
      </c>
      <c r="F39" s="60">
        <f t="shared" si="5"/>
        <v>7999.31</v>
      </c>
      <c r="G39" s="60">
        <f t="shared" si="5"/>
        <v>9471.64</v>
      </c>
      <c r="H39" s="60">
        <f t="shared" si="5"/>
        <v>4476.8500000000004</v>
      </c>
      <c r="I39" s="60">
        <f t="shared" si="5"/>
        <v>0</v>
      </c>
      <c r="J39" s="60">
        <f t="shared" si="5"/>
        <v>0</v>
      </c>
      <c r="K39" s="60">
        <f t="shared" si="5"/>
        <v>0</v>
      </c>
      <c r="L39" s="60">
        <f t="shared" si="5"/>
        <v>0</v>
      </c>
      <c r="M39" s="60">
        <f t="shared" si="5"/>
        <v>0</v>
      </c>
      <c r="N39" s="60">
        <f t="shared" si="5"/>
        <v>55367.54</v>
      </c>
      <c r="O39" s="286">
        <f>N39/P39</f>
        <v>0.32510527372954701</v>
      </c>
      <c r="P39" s="60">
        <f>SUM(P34:P38)</f>
        <v>170306.49599999998</v>
      </c>
      <c r="Q39" s="60">
        <f>SUM(Q34:Q38)</f>
        <v>118442</v>
      </c>
      <c r="R39" s="60">
        <f>SUM(R34:R38)</f>
        <v>78929</v>
      </c>
      <c r="S39" s="60">
        <f>SUM(S34:S38)</f>
        <v>79305</v>
      </c>
      <c r="T39" s="60">
        <f>SUM(T34:T38)</f>
        <v>78070</v>
      </c>
      <c r="U39" s="55"/>
      <c r="V39" s="55"/>
      <c r="W39" s="55"/>
      <c r="X39" s="110">
        <f>SUM(X34:X38)</f>
        <v>68715</v>
      </c>
    </row>
    <row r="40" spans="1:30" s="195" customFormat="1" ht="9" customHeight="1" x14ac:dyDescent="0.3">
      <c r="A40" s="51"/>
      <c r="B40" s="51"/>
      <c r="C40" s="51"/>
      <c r="D40" s="51"/>
      <c r="E40" s="51"/>
      <c r="F40" s="51"/>
      <c r="G40" s="51"/>
      <c r="H40" s="51"/>
      <c r="I40" s="51"/>
      <c r="J40" s="51"/>
      <c r="K40" s="51"/>
      <c r="L40" s="51"/>
      <c r="M40" s="51"/>
      <c r="N40" s="51"/>
      <c r="O40" s="293"/>
      <c r="P40" s="51"/>
      <c r="Q40" s="51"/>
      <c r="R40" s="51"/>
      <c r="S40" s="51"/>
      <c r="T40" s="51"/>
      <c r="U40" s="58"/>
      <c r="V40" s="58"/>
      <c r="W40" s="58"/>
      <c r="X40" s="78"/>
    </row>
    <row r="41" spans="1:30" s="195" customFormat="1" x14ac:dyDescent="0.3">
      <c r="A41" s="128" t="s">
        <v>126</v>
      </c>
      <c r="B41" s="51"/>
      <c r="C41" s="51"/>
      <c r="D41" s="51"/>
      <c r="E41" s="51"/>
      <c r="F41" s="51"/>
      <c r="G41" s="51"/>
      <c r="H41" s="51"/>
      <c r="I41" s="51"/>
      <c r="J41" s="51"/>
      <c r="K41" s="51"/>
      <c r="L41" s="51"/>
      <c r="M41" s="51"/>
      <c r="N41" s="51"/>
      <c r="O41" s="293"/>
      <c r="P41" s="51"/>
      <c r="Q41" s="51"/>
      <c r="R41" s="51"/>
      <c r="S41" s="51"/>
      <c r="T41" s="51"/>
      <c r="U41" s="58"/>
      <c r="V41" s="58"/>
      <c r="W41" s="58"/>
      <c r="X41" s="212"/>
    </row>
    <row r="42" spans="1:30" s="195" customFormat="1" x14ac:dyDescent="0.3">
      <c r="A42" s="78" t="s">
        <v>2</v>
      </c>
      <c r="B42" s="77">
        <v>949.82</v>
      </c>
      <c r="C42" s="77">
        <v>30.21</v>
      </c>
      <c r="D42" s="77">
        <v>108.4</v>
      </c>
      <c r="E42" s="77">
        <v>31.45</v>
      </c>
      <c r="F42" s="77">
        <v>13.64</v>
      </c>
      <c r="G42" s="77"/>
      <c r="H42" s="77">
        <v>54.22</v>
      </c>
      <c r="I42" s="77"/>
      <c r="J42" s="77"/>
      <c r="K42" s="77"/>
      <c r="L42" s="77"/>
      <c r="M42" s="77"/>
      <c r="N42" s="79">
        <f>SUM(B42:M42)</f>
        <v>1187.7400000000002</v>
      </c>
      <c r="O42" s="289" t="e">
        <f>N42/P42</f>
        <v>#DIV/0!</v>
      </c>
      <c r="P42" s="77">
        <f>+'budget entry'!F75</f>
        <v>0</v>
      </c>
      <c r="Q42" s="77">
        <v>3000</v>
      </c>
      <c r="R42" s="77">
        <v>3000</v>
      </c>
      <c r="S42" s="77">
        <v>3000</v>
      </c>
      <c r="T42" s="77">
        <v>3000</v>
      </c>
      <c r="U42" s="77"/>
      <c r="V42" s="77"/>
      <c r="W42" s="77"/>
      <c r="X42" s="82">
        <v>3000</v>
      </c>
    </row>
    <row r="43" spans="1:30" s="195" customFormat="1" x14ac:dyDescent="0.3">
      <c r="A43" s="78" t="s">
        <v>38</v>
      </c>
      <c r="B43" s="81">
        <v>6683.4</v>
      </c>
      <c r="C43" s="81">
        <v>1662.38</v>
      </c>
      <c r="D43" s="81"/>
      <c r="E43" s="81"/>
      <c r="F43" s="81"/>
      <c r="G43" s="81"/>
      <c r="H43" s="81"/>
      <c r="I43" s="81"/>
      <c r="J43" s="81"/>
      <c r="K43" s="81"/>
      <c r="L43" s="81"/>
      <c r="M43" s="81"/>
      <c r="N43" s="103">
        <f>SUM(B43:M43)</f>
        <v>8345.7799999999988</v>
      </c>
      <c r="O43" s="289" t="e">
        <f>N43/P43</f>
        <v>#DIV/0!</v>
      </c>
      <c r="P43" s="81">
        <f>+'budget entry'!F78</f>
        <v>0</v>
      </c>
      <c r="Q43" s="81">
        <v>8346</v>
      </c>
      <c r="R43" s="81">
        <v>5309</v>
      </c>
      <c r="S43" s="81">
        <v>6809</v>
      </c>
      <c r="T43" s="81">
        <v>6725</v>
      </c>
      <c r="U43" s="77"/>
      <c r="V43" s="77"/>
      <c r="W43" s="77"/>
      <c r="X43" s="81">
        <v>10000</v>
      </c>
    </row>
    <row r="44" spans="1:30" s="195" customFormat="1" x14ac:dyDescent="0.3">
      <c r="A44" s="60" t="s">
        <v>143</v>
      </c>
      <c r="B44" s="60">
        <f t="shared" ref="B44:N44" si="6">SUM(B42:B43)</f>
        <v>7633.2199999999993</v>
      </c>
      <c r="C44" s="60">
        <f t="shared" si="6"/>
        <v>1692.5900000000001</v>
      </c>
      <c r="D44" s="60">
        <f t="shared" si="6"/>
        <v>108.4</v>
      </c>
      <c r="E44" s="60">
        <f t="shared" si="6"/>
        <v>31.45</v>
      </c>
      <c r="F44" s="60">
        <f t="shared" si="6"/>
        <v>13.64</v>
      </c>
      <c r="G44" s="60">
        <f t="shared" si="6"/>
        <v>0</v>
      </c>
      <c r="H44" s="60">
        <f t="shared" si="6"/>
        <v>54.22</v>
      </c>
      <c r="I44" s="60">
        <f t="shared" si="6"/>
        <v>0</v>
      </c>
      <c r="J44" s="60">
        <f t="shared" si="6"/>
        <v>0</v>
      </c>
      <c r="K44" s="60">
        <f t="shared" si="6"/>
        <v>0</v>
      </c>
      <c r="L44" s="60">
        <f t="shared" si="6"/>
        <v>0</v>
      </c>
      <c r="M44" s="60">
        <f t="shared" si="6"/>
        <v>0</v>
      </c>
      <c r="N44" s="60">
        <f t="shared" si="6"/>
        <v>9533.5199999999986</v>
      </c>
      <c r="O44" s="286" t="e">
        <f>N44/P44</f>
        <v>#DIV/0!</v>
      </c>
      <c r="P44" s="60">
        <f>SUM(P42:P43)</f>
        <v>0</v>
      </c>
      <c r="Q44" s="60">
        <f>SUM(Q42:Q43)</f>
        <v>11346</v>
      </c>
      <c r="R44" s="60">
        <f>SUM(R42:R43)</f>
        <v>8309</v>
      </c>
      <c r="S44" s="60">
        <f>SUM(S42:S43)</f>
        <v>9809</v>
      </c>
      <c r="T44" s="60">
        <f>SUM(T42:T43)</f>
        <v>9725</v>
      </c>
      <c r="U44" s="55"/>
      <c r="V44" s="55"/>
      <c r="W44" s="55"/>
      <c r="X44" s="110">
        <f>SUM(X42:X43)</f>
        <v>13000</v>
      </c>
    </row>
    <row r="45" spans="1:30" s="195" customFormat="1" ht="8.25" customHeight="1" x14ac:dyDescent="0.3">
      <c r="A45" s="51"/>
      <c r="B45" s="51"/>
      <c r="C45" s="51"/>
      <c r="D45" s="51"/>
      <c r="E45" s="51"/>
      <c r="F45" s="51"/>
      <c r="G45" s="51"/>
      <c r="H45" s="51"/>
      <c r="I45" s="51"/>
      <c r="J45" s="51"/>
      <c r="K45" s="51"/>
      <c r="L45" s="51"/>
      <c r="M45" s="51"/>
      <c r="N45" s="51"/>
      <c r="O45" s="293"/>
      <c r="P45" s="51"/>
      <c r="Q45" s="51"/>
      <c r="R45" s="51"/>
      <c r="S45" s="51"/>
      <c r="T45" s="51"/>
      <c r="U45" s="58"/>
      <c r="V45" s="58"/>
      <c r="W45" s="58"/>
      <c r="X45" s="78"/>
    </row>
    <row r="46" spans="1:30" s="195" customFormat="1" x14ac:dyDescent="0.3">
      <c r="A46" s="128" t="s">
        <v>617</v>
      </c>
      <c r="B46" s="51"/>
      <c r="C46" s="51"/>
      <c r="D46" s="51"/>
      <c r="E46" s="51"/>
      <c r="F46" s="51"/>
      <c r="G46" s="51"/>
      <c r="H46" s="51"/>
      <c r="I46" s="51"/>
      <c r="J46" s="51"/>
      <c r="K46" s="51"/>
      <c r="L46" s="51"/>
      <c r="M46" s="51"/>
      <c r="N46" s="51"/>
      <c r="O46" s="293"/>
      <c r="P46" s="51"/>
      <c r="Q46" s="51"/>
      <c r="R46" s="51"/>
      <c r="S46" s="51"/>
      <c r="T46" s="51"/>
      <c r="U46" s="58"/>
      <c r="V46" s="58"/>
      <c r="W46" s="58"/>
      <c r="X46" s="212"/>
    </row>
    <row r="47" spans="1:30" s="195" customFormat="1" x14ac:dyDescent="0.3">
      <c r="A47" s="78" t="s">
        <v>1</v>
      </c>
      <c r="B47" s="51">
        <v>4218.88</v>
      </c>
      <c r="C47" s="51">
        <v>4218.88</v>
      </c>
      <c r="D47" s="51">
        <v>4218.8900000000003</v>
      </c>
      <c r="E47" s="51">
        <v>4218.88</v>
      </c>
      <c r="F47" s="51">
        <v>4218.8900000000003</v>
      </c>
      <c r="G47" s="51">
        <v>4218.88</v>
      </c>
      <c r="H47" s="51">
        <v>4218.8900000000003</v>
      </c>
      <c r="I47" s="51"/>
      <c r="J47" s="51"/>
      <c r="K47" s="51"/>
      <c r="L47" s="51"/>
      <c r="M47" s="51"/>
      <c r="N47" s="79">
        <f t="shared" ref="N47:N56" si="7">SUM(B47:M47)</f>
        <v>29532.190000000002</v>
      </c>
      <c r="O47" s="289">
        <f t="shared" ref="O47:O57" si="8">N47/P47</f>
        <v>14.766095000000002</v>
      </c>
      <c r="P47" s="51">
        <f>+'budget entry'!F83</f>
        <v>2000</v>
      </c>
      <c r="Q47" s="51">
        <v>30067</v>
      </c>
      <c r="R47" s="51">
        <v>60067</v>
      </c>
      <c r="S47" s="51">
        <v>58089</v>
      </c>
      <c r="T47" s="51">
        <v>46040</v>
      </c>
      <c r="U47" s="58"/>
      <c r="V47" s="58"/>
      <c r="W47" s="58"/>
      <c r="X47" s="64">
        <v>43596</v>
      </c>
    </row>
    <row r="48" spans="1:30" s="195" customFormat="1" x14ac:dyDescent="0.3">
      <c r="A48" s="78" t="s">
        <v>121</v>
      </c>
      <c r="B48" s="51">
        <v>0</v>
      </c>
      <c r="C48" s="51"/>
      <c r="D48" s="51"/>
      <c r="E48" s="51"/>
      <c r="F48" s="51"/>
      <c r="G48" s="51"/>
      <c r="H48" s="51"/>
      <c r="I48" s="51"/>
      <c r="J48" s="51"/>
      <c r="K48" s="51"/>
      <c r="L48" s="51"/>
      <c r="M48" s="51"/>
      <c r="N48" s="79">
        <f t="shared" si="7"/>
        <v>0</v>
      </c>
      <c r="O48" s="289">
        <f t="shared" si="8"/>
        <v>0</v>
      </c>
      <c r="P48" s="51">
        <f>+'budget entry'!F84</f>
        <v>1041.4741000000001</v>
      </c>
      <c r="Q48" s="51">
        <v>2000</v>
      </c>
      <c r="R48" s="51">
        <v>2000</v>
      </c>
      <c r="S48" s="51">
        <v>2000</v>
      </c>
      <c r="T48" s="51">
        <v>2000</v>
      </c>
      <c r="U48" s="58"/>
      <c r="V48" s="58"/>
      <c r="W48" s="58"/>
      <c r="X48" s="64">
        <v>106406</v>
      </c>
    </row>
    <row r="49" spans="1:30" s="195" customFormat="1" x14ac:dyDescent="0.3">
      <c r="A49" s="78" t="s">
        <v>497</v>
      </c>
      <c r="B49" s="51">
        <v>1309.01</v>
      </c>
      <c r="C49" s="51">
        <v>1309.01</v>
      </c>
      <c r="D49" s="51">
        <v>1309</v>
      </c>
      <c r="E49" s="51">
        <v>1309.01</v>
      </c>
      <c r="F49" s="51">
        <v>1309</v>
      </c>
      <c r="G49" s="51">
        <v>1299.46</v>
      </c>
      <c r="H49" s="51">
        <v>1305.0999999999999</v>
      </c>
      <c r="I49" s="51"/>
      <c r="J49" s="51"/>
      <c r="K49" s="51"/>
      <c r="L49" s="51"/>
      <c r="M49" s="51"/>
      <c r="N49" s="79">
        <f t="shared" si="7"/>
        <v>9149.59</v>
      </c>
      <c r="O49" s="289">
        <f t="shared" si="8"/>
        <v>0.27381796972312611</v>
      </c>
      <c r="P49" s="51">
        <f>+'budget entry'!F85+'budget entry'!F86+'budget entry'!F87</f>
        <v>33414.8632</v>
      </c>
      <c r="Q49" s="51">
        <v>12929</v>
      </c>
      <c r="R49" s="51">
        <v>19441</v>
      </c>
      <c r="S49" s="51">
        <f>843+11705+6500</f>
        <v>19048</v>
      </c>
      <c r="T49" s="51">
        <v>16276</v>
      </c>
      <c r="U49" s="58" t="s">
        <v>15</v>
      </c>
      <c r="V49" s="58"/>
      <c r="W49" s="58"/>
      <c r="X49" s="64">
        <v>0</v>
      </c>
      <c r="AC49" s="463">
        <f>(H49*5)+N49</f>
        <v>15675.09</v>
      </c>
      <c r="AD49" s="463">
        <f>+P49-AC49</f>
        <v>17739.7732</v>
      </c>
    </row>
    <row r="50" spans="1:30" s="195" customFormat="1" x14ac:dyDescent="0.3">
      <c r="A50" s="78" t="s">
        <v>470</v>
      </c>
      <c r="B50" s="51">
        <v>3093.53</v>
      </c>
      <c r="C50" s="51">
        <v>5674.78</v>
      </c>
      <c r="D50" s="51">
        <v>246.75</v>
      </c>
      <c r="E50" s="51"/>
      <c r="F50" s="51"/>
      <c r="G50" s="51"/>
      <c r="H50" s="51">
        <v>25</v>
      </c>
      <c r="I50" s="51"/>
      <c r="J50" s="51"/>
      <c r="K50" s="51"/>
      <c r="L50" s="51"/>
      <c r="M50" s="51"/>
      <c r="N50" s="79">
        <f t="shared" si="7"/>
        <v>9040.06</v>
      </c>
      <c r="O50" s="289">
        <f t="shared" si="8"/>
        <v>3.0133533333333333</v>
      </c>
      <c r="P50" s="51">
        <f>+'budget entry'!F88</f>
        <v>3000</v>
      </c>
      <c r="Q50" s="51">
        <v>10000</v>
      </c>
      <c r="R50" s="51">
        <v>20000</v>
      </c>
      <c r="S50" s="51">
        <v>12000</v>
      </c>
      <c r="T50" s="51">
        <v>12000</v>
      </c>
      <c r="U50" s="58"/>
      <c r="V50" s="58"/>
      <c r="W50" s="58"/>
      <c r="X50" s="64">
        <v>5000</v>
      </c>
      <c r="AB50" s="195" t="s">
        <v>645</v>
      </c>
    </row>
    <row r="51" spans="1:30" s="195" customFormat="1" x14ac:dyDescent="0.3">
      <c r="A51" s="78" t="s">
        <v>471</v>
      </c>
      <c r="B51" s="51"/>
      <c r="C51" s="51">
        <v>21.63</v>
      </c>
      <c r="D51" s="51">
        <v>499.81</v>
      </c>
      <c r="E51" s="51">
        <v>208.5</v>
      </c>
      <c r="F51" s="51">
        <v>35.28</v>
      </c>
      <c r="G51" s="51"/>
      <c r="H51" s="51" t="s">
        <v>15</v>
      </c>
      <c r="I51" s="51"/>
      <c r="J51" s="51"/>
      <c r="K51" s="51"/>
      <c r="L51" s="51"/>
      <c r="M51" s="51"/>
      <c r="N51" s="79">
        <f t="shared" si="7"/>
        <v>765.22</v>
      </c>
      <c r="O51" s="289">
        <f t="shared" si="8"/>
        <v>0.38261000000000001</v>
      </c>
      <c r="P51" s="51">
        <f>+'budget entry'!F89</f>
        <v>2000</v>
      </c>
      <c r="Q51" s="51">
        <v>3000</v>
      </c>
      <c r="R51" s="51">
        <v>3000</v>
      </c>
      <c r="S51" s="51">
        <v>3000</v>
      </c>
      <c r="T51" s="51">
        <v>3000</v>
      </c>
      <c r="U51" s="58"/>
      <c r="V51" s="58"/>
      <c r="W51" s="58"/>
      <c r="X51" s="76" t="s">
        <v>15</v>
      </c>
    </row>
    <row r="52" spans="1:30" s="195" customFormat="1" x14ac:dyDescent="0.3">
      <c r="A52" s="78" t="s">
        <v>414</v>
      </c>
      <c r="B52" s="51">
        <v>300</v>
      </c>
      <c r="C52" s="51">
        <v>167.8</v>
      </c>
      <c r="D52" s="51"/>
      <c r="E52" s="51">
        <v>89.6</v>
      </c>
      <c r="F52" s="51">
        <v>43.74</v>
      </c>
      <c r="G52" s="51"/>
      <c r="H52" s="51"/>
      <c r="I52" s="51"/>
      <c r="J52" s="51"/>
      <c r="K52" s="51"/>
      <c r="L52" s="51"/>
      <c r="M52" s="51"/>
      <c r="N52" s="79">
        <f t="shared" si="7"/>
        <v>601.14</v>
      </c>
      <c r="O52" s="289">
        <f t="shared" si="8"/>
        <v>8.587714285714286E-2</v>
      </c>
      <c r="P52" s="51">
        <f>+'budget entry'!F90</f>
        <v>7000</v>
      </c>
      <c r="Q52" s="51">
        <v>2000</v>
      </c>
      <c r="R52" s="51">
        <v>2000</v>
      </c>
      <c r="S52" s="51">
        <v>2000</v>
      </c>
      <c r="T52" s="51">
        <v>2000</v>
      </c>
      <c r="U52" s="58"/>
      <c r="V52" s="58"/>
      <c r="W52" s="58"/>
      <c r="X52" s="76"/>
    </row>
    <row r="53" spans="1:30" s="195" customFormat="1" x14ac:dyDescent="0.3">
      <c r="A53" s="78" t="s">
        <v>42</v>
      </c>
      <c r="B53" s="51"/>
      <c r="C53" s="51">
        <v>2000</v>
      </c>
      <c r="D53" s="51"/>
      <c r="E53" s="51"/>
      <c r="F53" s="51"/>
      <c r="G53" s="51"/>
      <c r="H53" s="51"/>
      <c r="I53" s="51"/>
      <c r="J53" s="51"/>
      <c r="K53" s="51"/>
      <c r="L53" s="51"/>
      <c r="M53" s="51"/>
      <c r="N53" s="79">
        <f t="shared" si="7"/>
        <v>2000</v>
      </c>
      <c r="O53" s="289">
        <f t="shared" si="8"/>
        <v>1</v>
      </c>
      <c r="P53" s="51">
        <f>+'budget entry'!F91</f>
        <v>2000</v>
      </c>
      <c r="Q53" s="51">
        <v>7000</v>
      </c>
      <c r="R53" s="51">
        <v>7000</v>
      </c>
      <c r="S53" s="51">
        <v>8000</v>
      </c>
      <c r="T53" s="51">
        <v>8000</v>
      </c>
      <c r="U53" s="58"/>
      <c r="V53" s="58"/>
      <c r="W53" s="58"/>
      <c r="X53" s="76"/>
      <c r="AB53" s="399" t="s">
        <v>15</v>
      </c>
    </row>
    <row r="54" spans="1:30" s="195" customFormat="1" x14ac:dyDescent="0.3">
      <c r="A54" s="78" t="s">
        <v>472</v>
      </c>
      <c r="B54" s="51"/>
      <c r="C54" s="51"/>
      <c r="D54" s="51"/>
      <c r="E54" s="51"/>
      <c r="F54" s="51"/>
      <c r="G54" s="51"/>
      <c r="H54" s="51"/>
      <c r="I54" s="51"/>
      <c r="J54" s="51"/>
      <c r="K54" s="51"/>
      <c r="L54" s="51"/>
      <c r="M54" s="51"/>
      <c r="N54" s="79">
        <f t="shared" si="7"/>
        <v>0</v>
      </c>
      <c r="O54" s="289">
        <v>0</v>
      </c>
      <c r="P54" s="51">
        <f>+'budget entry'!F92</f>
        <v>5000</v>
      </c>
      <c r="Q54" s="51">
        <v>2000</v>
      </c>
      <c r="R54" s="51">
        <v>4800</v>
      </c>
      <c r="S54" s="51">
        <v>5000</v>
      </c>
      <c r="T54" s="51">
        <v>5000</v>
      </c>
      <c r="U54" s="58"/>
      <c r="V54" s="58"/>
      <c r="W54" s="58"/>
      <c r="X54" s="76"/>
    </row>
    <row r="55" spans="1:30" s="195" customFormat="1" x14ac:dyDescent="0.3">
      <c r="A55" s="78" t="s">
        <v>475</v>
      </c>
      <c r="B55" s="51">
        <v>1550</v>
      </c>
      <c r="C55" s="51">
        <f>32.36+50</f>
        <v>82.36</v>
      </c>
      <c r="D55" s="51">
        <v>50</v>
      </c>
      <c r="E55" s="51">
        <f>59.8+25</f>
        <v>84.8</v>
      </c>
      <c r="F55" s="51">
        <f>17.98+25</f>
        <v>42.980000000000004</v>
      </c>
      <c r="G55" s="51"/>
      <c r="H55" s="51">
        <v>1219.6199999999999</v>
      </c>
      <c r="I55" s="51"/>
      <c r="J55" s="51"/>
      <c r="K55" s="51"/>
      <c r="L55" s="51"/>
      <c r="M55" s="51"/>
      <c r="N55" s="79">
        <f t="shared" si="7"/>
        <v>3029.7599999999998</v>
      </c>
      <c r="O55" s="289">
        <f t="shared" si="8"/>
        <v>3.8240543235431468E-2</v>
      </c>
      <c r="P55" s="51">
        <f>+'budget entry'!F93</f>
        <v>79229</v>
      </c>
      <c r="Q55" s="51">
        <v>5000</v>
      </c>
      <c r="R55" s="51">
        <v>10000</v>
      </c>
      <c r="S55" s="51">
        <v>10000</v>
      </c>
      <c r="T55" s="51">
        <v>10000</v>
      </c>
      <c r="U55" s="195" t="s">
        <v>572</v>
      </c>
      <c r="V55" s="58"/>
      <c r="W55" s="58"/>
      <c r="X55" s="82">
        <v>0</v>
      </c>
      <c r="AB55" s="195" t="s">
        <v>649</v>
      </c>
    </row>
    <row r="56" spans="1:30" s="195" customFormat="1" x14ac:dyDescent="0.3">
      <c r="A56" s="78" t="s">
        <v>474</v>
      </c>
      <c r="B56" s="63">
        <v>4592.26</v>
      </c>
      <c r="C56" s="63">
        <v>4592.26</v>
      </c>
      <c r="D56" s="63">
        <v>3631.89</v>
      </c>
      <c r="E56" s="63">
        <v>4272.1400000000003</v>
      </c>
      <c r="F56" s="63">
        <v>4272.1400000000003</v>
      </c>
      <c r="G56" s="63">
        <v>4176.5</v>
      </c>
      <c r="H56" s="63">
        <v>4256.2</v>
      </c>
      <c r="I56" s="63"/>
      <c r="J56" s="63"/>
      <c r="K56" s="63"/>
      <c r="L56" s="63"/>
      <c r="M56" s="63"/>
      <c r="N56" s="103">
        <f t="shared" si="7"/>
        <v>29793.39</v>
      </c>
      <c r="O56" s="289">
        <f t="shared" si="8"/>
        <v>0.14568101470334935</v>
      </c>
      <c r="P56" s="63">
        <f>+'budget entry'!F94</f>
        <v>204511.1373</v>
      </c>
      <c r="Q56" s="63">
        <v>48315</v>
      </c>
      <c r="R56" s="63">
        <v>59801</v>
      </c>
      <c r="S56" s="63">
        <v>44065</v>
      </c>
      <c r="T56" s="63">
        <v>44065</v>
      </c>
      <c r="U56" s="58"/>
      <c r="V56" s="58"/>
      <c r="W56" s="58"/>
      <c r="X56" s="150">
        <v>42500</v>
      </c>
    </row>
    <row r="57" spans="1:30" s="195" customFormat="1" x14ac:dyDescent="0.3">
      <c r="A57" s="60" t="s">
        <v>576</v>
      </c>
      <c r="B57" s="60">
        <f>SUM(B47:B56)</f>
        <v>15063.68</v>
      </c>
      <c r="C57" s="60">
        <f>SUM(C47:C56)</f>
        <v>18066.72</v>
      </c>
      <c r="D57" s="60">
        <f>SUM(D47:D56)</f>
        <v>9956.34</v>
      </c>
      <c r="E57" s="60">
        <f>SUM(E47:E56)</f>
        <v>10182.93</v>
      </c>
      <c r="F57" s="60">
        <f t="shared" ref="F57:M57" si="9">SUM(F47:F56)</f>
        <v>9922.0299999999988</v>
      </c>
      <c r="G57" s="60">
        <f t="shared" si="9"/>
        <v>9694.84</v>
      </c>
      <c r="H57" s="60">
        <f t="shared" si="9"/>
        <v>11024.81</v>
      </c>
      <c r="I57" s="60">
        <f t="shared" si="9"/>
        <v>0</v>
      </c>
      <c r="J57" s="60">
        <f t="shared" si="9"/>
        <v>0</v>
      </c>
      <c r="K57" s="60">
        <f t="shared" si="9"/>
        <v>0</v>
      </c>
      <c r="L57" s="60">
        <f t="shared" si="9"/>
        <v>0</v>
      </c>
      <c r="M57" s="60">
        <f t="shared" si="9"/>
        <v>0</v>
      </c>
      <c r="N57" s="60">
        <f>SUM(N47:N56)</f>
        <v>83911.35</v>
      </c>
      <c r="O57" s="286">
        <f t="shared" si="8"/>
        <v>0.24738273031567645</v>
      </c>
      <c r="P57" s="60">
        <f>SUM(P47:P56)</f>
        <v>339196.47460000002</v>
      </c>
      <c r="Q57" s="60">
        <f>SUM(Q47:Q56)</f>
        <v>122311</v>
      </c>
      <c r="R57" s="60">
        <f>SUM(R47:R56)</f>
        <v>188109</v>
      </c>
      <c r="S57" s="60">
        <f>SUM(S47:S56)</f>
        <v>163202</v>
      </c>
      <c r="T57" s="60">
        <f>SUM(T47:T56)</f>
        <v>148381</v>
      </c>
      <c r="U57" s="55"/>
      <c r="V57" s="55"/>
      <c r="W57" s="55"/>
      <c r="X57" s="110">
        <f>SUM(X47:X56)</f>
        <v>197502</v>
      </c>
    </row>
    <row r="58" spans="1:30" s="195" customFormat="1" ht="10.5" customHeight="1" x14ac:dyDescent="0.3">
      <c r="A58" s="51"/>
      <c r="B58" s="51"/>
      <c r="C58" s="51"/>
      <c r="D58" s="51"/>
      <c r="E58" s="51"/>
      <c r="F58" s="51"/>
      <c r="G58" s="51"/>
      <c r="H58" s="51"/>
      <c r="I58" s="51"/>
      <c r="J58" s="51"/>
      <c r="K58" s="51"/>
      <c r="L58" s="51"/>
      <c r="M58" s="51"/>
      <c r="N58" s="51"/>
      <c r="O58" s="293"/>
      <c r="P58" s="51"/>
      <c r="Q58" s="51"/>
      <c r="R58" s="51"/>
      <c r="S58" s="51"/>
      <c r="T58" s="51"/>
      <c r="U58" s="58"/>
      <c r="V58" s="58"/>
      <c r="W58" s="58"/>
      <c r="X58" s="78"/>
    </row>
    <row r="59" spans="1:30" s="195" customFormat="1" x14ac:dyDescent="0.3">
      <c r="A59" s="128" t="s">
        <v>20</v>
      </c>
      <c r="B59" s="51"/>
      <c r="C59" s="51"/>
      <c r="D59" s="51"/>
      <c r="E59" s="51"/>
      <c r="F59" s="51"/>
      <c r="G59" s="51"/>
      <c r="H59" s="51"/>
      <c r="I59" s="51"/>
      <c r="J59" s="51"/>
      <c r="K59" s="51"/>
      <c r="L59" s="51"/>
      <c r="M59" s="51"/>
      <c r="N59" s="51"/>
      <c r="O59" s="293"/>
      <c r="P59" s="51"/>
      <c r="Q59" s="51"/>
      <c r="R59" s="51"/>
      <c r="S59" s="51"/>
      <c r="T59" s="51"/>
      <c r="U59" s="58"/>
      <c r="V59" s="58"/>
      <c r="W59" s="58"/>
      <c r="X59" s="215"/>
    </row>
    <row r="60" spans="1:30" s="195" customFormat="1" x14ac:dyDescent="0.3">
      <c r="A60" s="78" t="s">
        <v>1</v>
      </c>
      <c r="B60" s="78">
        <v>12999.93</v>
      </c>
      <c r="C60" s="78">
        <v>12999.93</v>
      </c>
      <c r="D60" s="78">
        <v>12999.93</v>
      </c>
      <c r="E60" s="78">
        <v>12999.93</v>
      </c>
      <c r="F60" s="78">
        <v>12999.94</v>
      </c>
      <c r="G60" s="78">
        <f>20249.93-7250</f>
        <v>12999.93</v>
      </c>
      <c r="H60" s="78">
        <v>11999.94</v>
      </c>
      <c r="I60" s="78"/>
      <c r="J60" s="78"/>
      <c r="K60" s="78"/>
      <c r="L60" s="78"/>
      <c r="M60" s="78"/>
      <c r="N60" s="79">
        <f t="shared" ref="N60:N65" si="10">SUM(B60:M60)</f>
        <v>89999.53</v>
      </c>
      <c r="O60" s="289">
        <f t="shared" ref="O60:O66" si="11">N60/P60</f>
        <v>8.9999529999999996</v>
      </c>
      <c r="P60" s="78">
        <f>+'budget entry'!F98</f>
        <v>10000</v>
      </c>
      <c r="Q60" s="78">
        <v>156588</v>
      </c>
      <c r="R60" s="78">
        <v>181464</v>
      </c>
      <c r="S60" s="78">
        <v>180132</v>
      </c>
      <c r="T60" s="78">
        <v>152520</v>
      </c>
      <c r="U60" s="79"/>
      <c r="V60" s="79"/>
      <c r="W60" s="79"/>
      <c r="X60" s="78">
        <f>7500+153320</f>
        <v>160820</v>
      </c>
    </row>
    <row r="61" spans="1:30" s="195" customFormat="1" x14ac:dyDescent="0.3">
      <c r="A61" s="78" t="s">
        <v>271</v>
      </c>
      <c r="B61" s="78"/>
      <c r="C61" s="78"/>
      <c r="D61" s="78">
        <v>0</v>
      </c>
      <c r="E61" s="78"/>
      <c r="F61" s="78"/>
      <c r="G61" s="78">
        <v>7250</v>
      </c>
      <c r="H61" s="78"/>
      <c r="I61" s="78"/>
      <c r="J61" s="78"/>
      <c r="K61" s="78"/>
      <c r="L61" s="78"/>
      <c r="M61" s="78"/>
      <c r="N61" s="79">
        <f t="shared" si="10"/>
        <v>7250</v>
      </c>
      <c r="O61" s="289">
        <f t="shared" si="11"/>
        <v>3.3203176879963872</v>
      </c>
      <c r="P61" s="78">
        <f>+'budget entry'!F99</f>
        <v>2183.5260000000003</v>
      </c>
      <c r="Q61" s="78">
        <v>8000</v>
      </c>
      <c r="R61" s="78">
        <v>8000</v>
      </c>
      <c r="S61" s="78">
        <v>10000</v>
      </c>
      <c r="T61" s="78">
        <v>7500</v>
      </c>
      <c r="U61" s="79"/>
      <c r="V61" s="79"/>
      <c r="W61" s="79"/>
      <c r="X61" s="78">
        <f>2250+30500+32250</f>
        <v>65000</v>
      </c>
    </row>
    <row r="62" spans="1:30" s="195" customFormat="1" x14ac:dyDescent="0.3">
      <c r="A62" s="78" t="s">
        <v>497</v>
      </c>
      <c r="B62" s="78">
        <v>4399.5200000000004</v>
      </c>
      <c r="C62" s="78">
        <v>4399.5200000000004</v>
      </c>
      <c r="D62" s="78">
        <v>5442.92</v>
      </c>
      <c r="E62" s="78">
        <v>4940.3900000000003</v>
      </c>
      <c r="F62" s="78">
        <v>4940.3900000000003</v>
      </c>
      <c r="G62" s="78">
        <v>4506.43</v>
      </c>
      <c r="H62" s="78">
        <v>3659.63</v>
      </c>
      <c r="I62" s="78"/>
      <c r="J62" s="78"/>
      <c r="K62" s="78"/>
      <c r="L62" s="78"/>
      <c r="M62" s="78"/>
      <c r="N62" s="79">
        <f t="shared" si="10"/>
        <v>32288.800000000003</v>
      </c>
      <c r="O62" s="289">
        <f t="shared" si="11"/>
        <v>0.49537931540667601</v>
      </c>
      <c r="P62" s="78">
        <f>+'budget entry'!F100+'budget entry'!F101+'budget entry'!F102</f>
        <v>65179.951999999997</v>
      </c>
      <c r="Q62" s="78">
        <v>66847</v>
      </c>
      <c r="R62" s="78">
        <v>74196</v>
      </c>
      <c r="S62" s="78">
        <f>2612+36297+40500</f>
        <v>79409</v>
      </c>
      <c r="T62" s="78">
        <v>64908</v>
      </c>
      <c r="U62" s="79" t="s">
        <v>15</v>
      </c>
      <c r="V62" s="79"/>
      <c r="W62" s="79"/>
      <c r="X62" s="78"/>
      <c r="AC62" s="463">
        <f>(H62*5)+N62</f>
        <v>50586.950000000004</v>
      </c>
      <c r="AD62" s="463">
        <f>+P62-AC62</f>
        <v>14593.001999999993</v>
      </c>
    </row>
    <row r="63" spans="1:30" s="195" customFormat="1" x14ac:dyDescent="0.3">
      <c r="A63" s="79" t="s">
        <v>43</v>
      </c>
      <c r="B63" s="77"/>
      <c r="C63" s="77">
        <v>1114.3900000000001</v>
      </c>
      <c r="D63" s="77">
        <v>-597.16</v>
      </c>
      <c r="E63" s="77">
        <v>58.23</v>
      </c>
      <c r="F63" s="77">
        <v>111.84</v>
      </c>
      <c r="G63" s="77">
        <v>326.10000000000002</v>
      </c>
      <c r="H63" s="77"/>
      <c r="I63" s="77"/>
      <c r="J63" s="77"/>
      <c r="K63" s="77"/>
      <c r="L63" s="77"/>
      <c r="M63" s="77"/>
      <c r="N63" s="79">
        <f t="shared" si="10"/>
        <v>1013.4000000000002</v>
      </c>
      <c r="O63" s="289">
        <f t="shared" si="11"/>
        <v>0.15354545454545457</v>
      </c>
      <c r="P63" s="77">
        <f>+'budget entry'!F103</f>
        <v>6600</v>
      </c>
      <c r="Q63" s="77">
        <v>3585</v>
      </c>
      <c r="R63" s="77">
        <v>3585</v>
      </c>
      <c r="S63" s="77">
        <v>3915</v>
      </c>
      <c r="T63" s="77">
        <v>3000</v>
      </c>
      <c r="U63" s="77"/>
      <c r="V63" s="77"/>
      <c r="W63" s="77"/>
      <c r="X63" s="78"/>
    </row>
    <row r="64" spans="1:30" s="195" customFormat="1" x14ac:dyDescent="0.3">
      <c r="A64" s="79" t="s">
        <v>641</v>
      </c>
      <c r="B64" s="77"/>
      <c r="C64" s="77"/>
      <c r="D64" s="77">
        <v>360</v>
      </c>
      <c r="E64" s="77">
        <v>1763</v>
      </c>
      <c r="F64" s="77">
        <v>1690</v>
      </c>
      <c r="G64" s="77">
        <v>2783</v>
      </c>
      <c r="H64" s="77"/>
      <c r="I64" s="77"/>
      <c r="J64" s="77"/>
      <c r="K64" s="77"/>
      <c r="L64" s="77"/>
      <c r="M64" s="77"/>
      <c r="N64" s="79">
        <f t="shared" si="10"/>
        <v>6596</v>
      </c>
      <c r="O64" s="289">
        <f t="shared" si="11"/>
        <v>13.192</v>
      </c>
      <c r="P64" s="77">
        <f>+'budget entry'!F104</f>
        <v>500</v>
      </c>
      <c r="Q64" s="77">
        <v>1000</v>
      </c>
      <c r="R64" s="77"/>
      <c r="S64" s="77"/>
      <c r="T64" s="77"/>
      <c r="U64" s="77"/>
      <c r="V64" s="77"/>
      <c r="W64" s="77"/>
      <c r="X64" s="78"/>
    </row>
    <row r="65" spans="1:30" s="195" customFormat="1" x14ac:dyDescent="0.3">
      <c r="A65" s="79" t="s">
        <v>45</v>
      </c>
      <c r="B65" s="81"/>
      <c r="C65" s="81"/>
      <c r="D65" s="81"/>
      <c r="E65" s="81"/>
      <c r="F65" s="81">
        <v>73.180000000000007</v>
      </c>
      <c r="G65" s="81"/>
      <c r="H65" s="81">
        <v>100.24</v>
      </c>
      <c r="I65" s="81"/>
      <c r="J65" s="81"/>
      <c r="K65" s="81"/>
      <c r="L65" s="81"/>
      <c r="M65" s="81"/>
      <c r="N65" s="103">
        <f t="shared" si="10"/>
        <v>173.42000000000002</v>
      </c>
      <c r="O65" s="289">
        <f t="shared" si="11"/>
        <v>8.6710000000000009E-2</v>
      </c>
      <c r="P65" s="81">
        <f>+'budget entry'!F105</f>
        <v>2000</v>
      </c>
      <c r="Q65" s="81">
        <v>500</v>
      </c>
      <c r="R65" s="81">
        <v>500</v>
      </c>
      <c r="S65" s="81">
        <v>500</v>
      </c>
      <c r="T65" s="81">
        <v>500</v>
      </c>
      <c r="U65" s="77"/>
      <c r="V65" s="77"/>
      <c r="W65" s="77"/>
      <c r="X65" s="103">
        <f>'[1]17-18 CMO'!L47</f>
        <v>0</v>
      </c>
    </row>
    <row r="66" spans="1:30" s="195" customFormat="1" x14ac:dyDescent="0.3">
      <c r="A66" s="60" t="s">
        <v>20</v>
      </c>
      <c r="B66" s="60">
        <f t="shared" ref="B66:N66" si="12">SUM(B60:B65)</f>
        <v>17399.45</v>
      </c>
      <c r="C66" s="60">
        <f>SUM(C60:C65)</f>
        <v>18513.84</v>
      </c>
      <c r="D66" s="60">
        <f>SUM(D60:D65)</f>
        <v>18205.689999999999</v>
      </c>
      <c r="E66" s="60">
        <f t="shared" si="12"/>
        <v>19761.55</v>
      </c>
      <c r="F66" s="60">
        <f t="shared" si="12"/>
        <v>19815.350000000002</v>
      </c>
      <c r="G66" s="60">
        <f t="shared" si="12"/>
        <v>27865.46</v>
      </c>
      <c r="H66" s="60">
        <f t="shared" si="12"/>
        <v>15759.81</v>
      </c>
      <c r="I66" s="60">
        <f t="shared" si="12"/>
        <v>0</v>
      </c>
      <c r="J66" s="60">
        <f t="shared" si="12"/>
        <v>0</v>
      </c>
      <c r="K66" s="60">
        <f t="shared" si="12"/>
        <v>0</v>
      </c>
      <c r="L66" s="60">
        <f t="shared" si="12"/>
        <v>0</v>
      </c>
      <c r="M66" s="60">
        <f t="shared" si="12"/>
        <v>0</v>
      </c>
      <c r="N66" s="60">
        <f t="shared" si="12"/>
        <v>137321.15</v>
      </c>
      <c r="O66" s="286">
        <f t="shared" si="11"/>
        <v>1.5881983142061438</v>
      </c>
      <c r="P66" s="60">
        <f>SUM(P60:P65)</f>
        <v>86463.478000000003</v>
      </c>
      <c r="Q66" s="60">
        <f>SUM(Q60:Q65)</f>
        <v>236520</v>
      </c>
      <c r="R66" s="60">
        <f>SUM(R60:R65)</f>
        <v>267745</v>
      </c>
      <c r="S66" s="60">
        <f>SUM(S60:S65)</f>
        <v>273956</v>
      </c>
      <c r="T66" s="60">
        <f>SUM(T60:T65)</f>
        <v>228428</v>
      </c>
      <c r="U66" s="55"/>
      <c r="V66" s="55"/>
      <c r="W66" s="55"/>
      <c r="X66" s="78">
        <f>SUM(X60:X65)</f>
        <v>225820</v>
      </c>
    </row>
    <row r="67" spans="1:30" s="195" customFormat="1" ht="10.5" customHeight="1" x14ac:dyDescent="0.3">
      <c r="A67" s="51"/>
      <c r="B67" s="51"/>
      <c r="C67" s="51"/>
      <c r="D67" s="51"/>
      <c r="E67" s="51"/>
      <c r="F67" s="51"/>
      <c r="G67" s="51"/>
      <c r="H67" s="51"/>
      <c r="I67" s="51"/>
      <c r="J67" s="51"/>
      <c r="K67" s="51"/>
      <c r="L67" s="51"/>
      <c r="M67" s="51"/>
      <c r="N67" s="51"/>
      <c r="O67" s="293"/>
      <c r="P67" s="51"/>
      <c r="Q67" s="51"/>
      <c r="R67" s="51"/>
      <c r="S67" s="51"/>
      <c r="T67" s="51"/>
      <c r="U67" s="58"/>
      <c r="V67" s="58"/>
      <c r="W67" s="58"/>
      <c r="X67" s="78">
        <v>2000</v>
      </c>
    </row>
    <row r="68" spans="1:30" s="195" customFormat="1" x14ac:dyDescent="0.3">
      <c r="A68" s="128" t="s">
        <v>131</v>
      </c>
      <c r="B68" s="51"/>
      <c r="C68" s="51"/>
      <c r="D68" s="51"/>
      <c r="E68" s="51"/>
      <c r="F68" s="51"/>
      <c r="G68" s="51"/>
      <c r="H68" s="51"/>
      <c r="I68" s="51"/>
      <c r="J68" s="51"/>
      <c r="K68" s="51"/>
      <c r="L68" s="51"/>
      <c r="M68" s="51"/>
      <c r="N68" s="51"/>
      <c r="O68" s="293"/>
      <c r="P68" s="51"/>
      <c r="Q68" s="51"/>
      <c r="R68" s="51"/>
      <c r="S68" s="51"/>
      <c r="T68" s="51"/>
      <c r="U68" s="58"/>
      <c r="V68" s="58"/>
      <c r="W68" s="58"/>
      <c r="X68" s="78">
        <v>500</v>
      </c>
    </row>
    <row r="69" spans="1:30" s="195" customFormat="1" x14ac:dyDescent="0.3">
      <c r="A69" s="78" t="s">
        <v>1</v>
      </c>
      <c r="B69" s="51">
        <v>3698.27</v>
      </c>
      <c r="C69" s="51">
        <v>3698.27</v>
      </c>
      <c r="D69" s="51">
        <v>3774.55</v>
      </c>
      <c r="E69" s="51">
        <v>3774.55</v>
      </c>
      <c r="F69" s="51">
        <v>3774.55</v>
      </c>
      <c r="G69" s="51">
        <v>3774.55</v>
      </c>
      <c r="H69" s="51">
        <v>3823.25</v>
      </c>
      <c r="I69" s="51"/>
      <c r="J69" s="51"/>
      <c r="K69" s="51"/>
      <c r="L69" s="51"/>
      <c r="M69" s="51"/>
      <c r="N69" s="79">
        <f t="shared" ref="N69:N78" si="13">SUM(B69:M69)</f>
        <v>26317.989999999998</v>
      </c>
      <c r="O69" s="289">
        <f t="shared" ref="O69:O79" si="14">N69/P69</f>
        <v>5.263598</v>
      </c>
      <c r="P69" s="51">
        <f>+'budget entry'!F110</f>
        <v>5000</v>
      </c>
      <c r="Q69" s="51">
        <v>23050</v>
      </c>
      <c r="R69" s="51">
        <v>44597</v>
      </c>
      <c r="S69" s="51">
        <v>43800</v>
      </c>
      <c r="T69" s="51">
        <v>41140</v>
      </c>
      <c r="U69" s="58"/>
      <c r="V69" s="58"/>
      <c r="W69" s="58"/>
      <c r="X69" s="103">
        <v>3000</v>
      </c>
    </row>
    <row r="70" spans="1:30" s="195" customFormat="1" x14ac:dyDescent="0.3">
      <c r="A70" s="78" t="s">
        <v>213</v>
      </c>
      <c r="B70" s="51">
        <v>1227.4100000000001</v>
      </c>
      <c r="C70" s="51"/>
      <c r="D70" s="51"/>
      <c r="E70" s="51"/>
      <c r="F70" s="51"/>
      <c r="G70" s="51"/>
      <c r="H70" s="51">
        <v>0</v>
      </c>
      <c r="I70" s="51"/>
      <c r="J70" s="51"/>
      <c r="K70" s="51"/>
      <c r="L70" s="51"/>
      <c r="M70" s="51"/>
      <c r="N70" s="79">
        <f t="shared" si="13"/>
        <v>1227.4100000000001</v>
      </c>
      <c r="O70" s="289">
        <f t="shared" si="14"/>
        <v>1.7311847672778562</v>
      </c>
      <c r="P70" s="51">
        <f>+'budget entry'!F111</f>
        <v>709</v>
      </c>
      <c r="Q70" s="51">
        <v>5000</v>
      </c>
      <c r="R70" s="51">
        <v>5000</v>
      </c>
      <c r="S70" s="51">
        <v>4000</v>
      </c>
      <c r="T70" s="51">
        <v>2000</v>
      </c>
      <c r="U70" s="58"/>
      <c r="V70" s="58"/>
      <c r="W70" s="58"/>
      <c r="X70" s="2">
        <f>SUM(X66:X69)</f>
        <v>231320</v>
      </c>
    </row>
    <row r="71" spans="1:30" s="195" customFormat="1" x14ac:dyDescent="0.3">
      <c r="A71" s="78" t="s">
        <v>497</v>
      </c>
      <c r="B71" s="51"/>
      <c r="C71" s="51">
        <v>1227.4100000000001</v>
      </c>
      <c r="D71" s="51">
        <v>1243.8900000000001</v>
      </c>
      <c r="E71" s="51">
        <v>1243.94</v>
      </c>
      <c r="F71" s="51">
        <v>1243.8900000000001</v>
      </c>
      <c r="G71" s="51">
        <v>1239.56</v>
      </c>
      <c r="H71" s="51">
        <v>1250.2</v>
      </c>
      <c r="I71" s="51"/>
      <c r="J71" s="51"/>
      <c r="K71" s="51"/>
      <c r="L71" s="51"/>
      <c r="M71" s="51"/>
      <c r="N71" s="79">
        <f t="shared" si="13"/>
        <v>7448.89</v>
      </c>
      <c r="O71" s="289">
        <f t="shared" si="14"/>
        <v>0.38796302083333334</v>
      </c>
      <c r="P71" s="51">
        <f>+'budget entry'!F112+'budget entry'!F113+'budget entry'!F114</f>
        <v>19200</v>
      </c>
      <c r="Q71" s="51">
        <v>11426</v>
      </c>
      <c r="R71" s="51">
        <v>16090</v>
      </c>
      <c r="S71" s="51">
        <f>700+9000+6480</f>
        <v>16180</v>
      </c>
      <c r="T71" s="51">
        <v>15248</v>
      </c>
      <c r="U71" s="58" t="s">
        <v>15</v>
      </c>
      <c r="V71" s="58"/>
      <c r="W71" s="58"/>
      <c r="X71" s="78"/>
      <c r="AC71" s="463">
        <f>(H71*5)+N71</f>
        <v>13699.89</v>
      </c>
      <c r="AD71" s="463">
        <f>+P71-AC71</f>
        <v>5500.1100000000006</v>
      </c>
    </row>
    <row r="72" spans="1:30" s="195" customFormat="1" x14ac:dyDescent="0.3">
      <c r="A72" s="78" t="s">
        <v>477</v>
      </c>
      <c r="B72" s="51"/>
      <c r="C72" s="51"/>
      <c r="D72" s="51"/>
      <c r="E72" s="51"/>
      <c r="F72" s="51"/>
      <c r="G72" s="51"/>
      <c r="H72" s="51"/>
      <c r="I72" s="51"/>
      <c r="J72" s="51"/>
      <c r="K72" s="51"/>
      <c r="L72" s="51"/>
      <c r="M72" s="51"/>
      <c r="N72" s="79">
        <f t="shared" si="13"/>
        <v>0</v>
      </c>
      <c r="O72" s="289">
        <f t="shared" si="14"/>
        <v>0</v>
      </c>
      <c r="P72" s="51">
        <f>+'budget entry'!F115</f>
        <v>2000</v>
      </c>
      <c r="Q72" s="51">
        <v>720</v>
      </c>
      <c r="R72" s="51">
        <v>720</v>
      </c>
      <c r="S72" s="51">
        <v>2000</v>
      </c>
      <c r="T72" s="51">
        <v>720</v>
      </c>
      <c r="U72" s="58"/>
      <c r="V72" s="58"/>
      <c r="W72" s="58"/>
      <c r="X72" s="215"/>
    </row>
    <row r="73" spans="1:30" s="195" customFormat="1" x14ac:dyDescent="0.3">
      <c r="A73" s="78" t="s">
        <v>0</v>
      </c>
      <c r="B73" s="51"/>
      <c r="C73" s="51"/>
      <c r="D73" s="51"/>
      <c r="E73" s="51"/>
      <c r="F73" s="51">
        <v>13.8</v>
      </c>
      <c r="G73" s="51">
        <v>-3</v>
      </c>
      <c r="H73" s="51"/>
      <c r="I73" s="51"/>
      <c r="J73" s="51"/>
      <c r="K73" s="51"/>
      <c r="L73" s="51"/>
      <c r="M73" s="51"/>
      <c r="N73" s="79">
        <f t="shared" si="13"/>
        <v>10.8</v>
      </c>
      <c r="O73" s="289">
        <f t="shared" si="14"/>
        <v>5.4000000000000006E-2</v>
      </c>
      <c r="P73" s="51">
        <f>+'budget entry'!F116</f>
        <v>200</v>
      </c>
      <c r="Q73" s="51">
        <v>500</v>
      </c>
      <c r="R73" s="51">
        <v>500</v>
      </c>
      <c r="S73" s="51">
        <v>1000</v>
      </c>
      <c r="T73" s="51">
        <v>500</v>
      </c>
      <c r="U73" s="58"/>
      <c r="V73" s="58"/>
      <c r="W73" s="58"/>
      <c r="X73" s="78">
        <v>38142</v>
      </c>
    </row>
    <row r="74" spans="1:30" s="195" customFormat="1" x14ac:dyDescent="0.3">
      <c r="A74" s="78" t="s">
        <v>57</v>
      </c>
      <c r="B74" s="51"/>
      <c r="C74" s="51"/>
      <c r="D74" s="51"/>
      <c r="E74" s="51"/>
      <c r="F74" s="51"/>
      <c r="G74" s="51"/>
      <c r="H74" s="51"/>
      <c r="I74" s="51"/>
      <c r="J74" s="51"/>
      <c r="K74" s="51"/>
      <c r="L74" s="51"/>
      <c r="M74" s="51"/>
      <c r="N74" s="79">
        <f t="shared" si="13"/>
        <v>0</v>
      </c>
      <c r="O74" s="289">
        <f t="shared" si="14"/>
        <v>0</v>
      </c>
      <c r="P74" s="51">
        <f>+'budget entry'!F117</f>
        <v>2400</v>
      </c>
      <c r="Q74" s="51">
        <v>1000</v>
      </c>
      <c r="R74" s="51">
        <v>1000</v>
      </c>
      <c r="S74" s="51">
        <v>300</v>
      </c>
      <c r="T74" s="51">
        <v>300</v>
      </c>
      <c r="U74" s="58"/>
      <c r="V74" s="58"/>
      <c r="W74" s="58"/>
      <c r="X74" s="78">
        <v>500</v>
      </c>
    </row>
    <row r="75" spans="1:30" s="195" customFormat="1" x14ac:dyDescent="0.3">
      <c r="A75" s="78" t="s">
        <v>132</v>
      </c>
      <c r="B75" s="51"/>
      <c r="C75" s="51"/>
      <c r="D75" s="51"/>
      <c r="E75" s="51"/>
      <c r="F75" s="51"/>
      <c r="G75" s="51"/>
      <c r="H75" s="51"/>
      <c r="I75" s="51"/>
      <c r="J75" s="51"/>
      <c r="K75" s="51"/>
      <c r="L75" s="51"/>
      <c r="M75" s="51"/>
      <c r="N75" s="79">
        <f t="shared" si="13"/>
        <v>0</v>
      </c>
      <c r="O75" s="289">
        <f t="shared" si="14"/>
        <v>0</v>
      </c>
      <c r="P75" s="51">
        <f>+'budget entry'!F118</f>
        <v>2000</v>
      </c>
      <c r="Q75" s="51">
        <v>200</v>
      </c>
      <c r="R75" s="51">
        <v>200</v>
      </c>
      <c r="S75" s="51">
        <v>100</v>
      </c>
      <c r="T75" s="51">
        <v>100</v>
      </c>
      <c r="U75" s="58"/>
      <c r="V75" s="58"/>
      <c r="W75" s="58"/>
      <c r="X75" s="78"/>
    </row>
    <row r="76" spans="1:30" s="195" customFormat="1" x14ac:dyDescent="0.3">
      <c r="A76" s="78" t="s">
        <v>7</v>
      </c>
      <c r="B76" s="51">
        <v>217.21</v>
      </c>
      <c r="C76" s="51">
        <v>95.21</v>
      </c>
      <c r="D76" s="51">
        <v>94.36</v>
      </c>
      <c r="E76" s="51">
        <v>95.41</v>
      </c>
      <c r="F76" s="51">
        <v>-0.72</v>
      </c>
      <c r="G76" s="51">
        <v>33.82</v>
      </c>
      <c r="H76" s="51"/>
      <c r="I76" s="51"/>
      <c r="J76" s="51"/>
      <c r="K76" s="51"/>
      <c r="L76" s="51"/>
      <c r="M76" s="51"/>
      <c r="N76" s="79">
        <f t="shared" si="13"/>
        <v>535.29000000000008</v>
      </c>
      <c r="O76" s="289">
        <f t="shared" si="14"/>
        <v>0.15294000000000002</v>
      </c>
      <c r="P76" s="51">
        <f>+'budget entry'!F119</f>
        <v>3500</v>
      </c>
      <c r="Q76" s="51">
        <v>2400</v>
      </c>
      <c r="R76" s="51">
        <v>2400</v>
      </c>
      <c r="S76" s="51">
        <v>2400</v>
      </c>
      <c r="T76" s="51">
        <v>2400</v>
      </c>
      <c r="U76" s="58"/>
      <c r="V76" s="58"/>
      <c r="W76" s="58"/>
      <c r="X76" s="78"/>
    </row>
    <row r="77" spans="1:30" s="195" customFormat="1" x14ac:dyDescent="0.3">
      <c r="A77" s="78" t="s">
        <v>574</v>
      </c>
      <c r="B77" s="51">
        <v>20</v>
      </c>
      <c r="C77" s="51">
        <v>0</v>
      </c>
      <c r="D77" s="51">
        <f>103.2+86.6</f>
        <v>189.8</v>
      </c>
      <c r="E77" s="51">
        <f>3101.24-1601</f>
        <v>1500.2399999999998</v>
      </c>
      <c r="F77" s="51"/>
      <c r="G77" s="51">
        <v>29.8</v>
      </c>
      <c r="H77" s="51"/>
      <c r="I77" s="51"/>
      <c r="J77" s="51"/>
      <c r="K77" s="51"/>
      <c r="L77" s="51"/>
      <c r="M77" s="51"/>
      <c r="N77" s="79">
        <f t="shared" si="13"/>
        <v>1739.8399999999997</v>
      </c>
      <c r="O77" s="289">
        <f t="shared" si="14"/>
        <v>2.0729902655816222E-2</v>
      </c>
      <c r="P77" s="51">
        <f>+'budget entry'!F120</f>
        <v>83929</v>
      </c>
      <c r="Q77" s="51">
        <v>500</v>
      </c>
      <c r="R77" s="51">
        <v>500</v>
      </c>
      <c r="S77" s="51">
        <v>5520</v>
      </c>
      <c r="T77" s="51">
        <v>500</v>
      </c>
      <c r="U77" s="58"/>
      <c r="V77" s="58"/>
      <c r="W77" s="58"/>
      <c r="X77" s="78"/>
    </row>
    <row r="78" spans="1:30" s="195" customFormat="1" x14ac:dyDescent="0.3">
      <c r="A78" s="78" t="s">
        <v>133</v>
      </c>
      <c r="B78" s="63">
        <v>299.05</v>
      </c>
      <c r="C78" s="63">
        <v>119.32</v>
      </c>
      <c r="D78" s="63">
        <v>106.48</v>
      </c>
      <c r="E78" s="63">
        <v>210.48</v>
      </c>
      <c r="F78" s="63">
        <v>69.739999999999995</v>
      </c>
      <c r="G78" s="63">
        <v>86.33</v>
      </c>
      <c r="H78" s="63">
        <v>105.89</v>
      </c>
      <c r="I78" s="63"/>
      <c r="J78" s="63"/>
      <c r="K78" s="63"/>
      <c r="L78" s="63"/>
      <c r="M78" s="63"/>
      <c r="N78" s="103">
        <f t="shared" si="13"/>
        <v>997.29000000000008</v>
      </c>
      <c r="O78" s="289" t="e">
        <f t="shared" si="14"/>
        <v>#DIV/0!</v>
      </c>
      <c r="P78" s="63">
        <f>+'budget entry'!F121</f>
        <v>0</v>
      </c>
      <c r="Q78" s="63">
        <v>3000</v>
      </c>
      <c r="R78" s="63">
        <v>3000</v>
      </c>
      <c r="S78" s="63">
        <v>4000</v>
      </c>
      <c r="T78" s="63">
        <v>4000</v>
      </c>
      <c r="U78" s="58"/>
      <c r="V78" s="58"/>
      <c r="W78" s="58"/>
      <c r="X78" s="78"/>
    </row>
    <row r="79" spans="1:30" s="195" customFormat="1" x14ac:dyDescent="0.3">
      <c r="A79" s="2" t="s">
        <v>616</v>
      </c>
      <c r="B79" s="2">
        <f>SUM(B69:B78)</f>
        <v>5461.9400000000005</v>
      </c>
      <c r="C79" s="2">
        <f>SUM(C69:C78)</f>
        <v>5140.21</v>
      </c>
      <c r="D79" s="2">
        <f>SUM(D69:D78)</f>
        <v>5409.08</v>
      </c>
      <c r="E79" s="2">
        <f>SUM(E69:E78)</f>
        <v>6824.619999999999</v>
      </c>
      <c r="F79" s="2">
        <f t="shared" ref="F79:M79" si="15">SUM(F69:F78)</f>
        <v>5101.26</v>
      </c>
      <c r="G79" s="2">
        <f t="shared" si="15"/>
        <v>5161.0600000000004</v>
      </c>
      <c r="H79" s="2">
        <f t="shared" si="15"/>
        <v>5179.34</v>
      </c>
      <c r="I79" s="2">
        <f t="shared" si="15"/>
        <v>0</v>
      </c>
      <c r="J79" s="2">
        <f t="shared" si="15"/>
        <v>0</v>
      </c>
      <c r="K79" s="2">
        <f t="shared" si="15"/>
        <v>0</v>
      </c>
      <c r="L79" s="2">
        <f t="shared" si="15"/>
        <v>0</v>
      </c>
      <c r="M79" s="2">
        <f t="shared" si="15"/>
        <v>0</v>
      </c>
      <c r="N79" s="2">
        <f>SUM(N69:N78)</f>
        <v>38277.51</v>
      </c>
      <c r="O79" s="286">
        <f t="shared" si="14"/>
        <v>0.32182742269081371</v>
      </c>
      <c r="P79" s="2">
        <f>SUM(P69:P78)</f>
        <v>118938</v>
      </c>
      <c r="Q79" s="2">
        <f>SUM(Q69:Q78)</f>
        <v>47796</v>
      </c>
      <c r="R79" s="2">
        <f>SUM(R69:R78)</f>
        <v>74007</v>
      </c>
      <c r="S79" s="2">
        <f>SUM(S69:S78)</f>
        <v>79300</v>
      </c>
      <c r="T79" s="2">
        <f>SUM(T69:T78)</f>
        <v>66908</v>
      </c>
      <c r="U79" s="105"/>
      <c r="V79" s="105"/>
      <c r="W79" s="105"/>
      <c r="X79" s="78"/>
    </row>
    <row r="80" spans="1:30" s="195" customFormat="1" x14ac:dyDescent="0.3">
      <c r="A80" s="51"/>
      <c r="B80" s="188"/>
      <c r="C80" s="188"/>
      <c r="D80" s="188"/>
      <c r="E80" s="188"/>
      <c r="F80" s="188"/>
      <c r="G80" s="188"/>
      <c r="H80" s="188"/>
      <c r="I80" s="188"/>
      <c r="J80" s="188"/>
      <c r="K80" s="188"/>
      <c r="L80" s="188"/>
      <c r="M80" s="188"/>
      <c r="N80" s="188"/>
      <c r="O80" s="379"/>
      <c r="P80" s="188"/>
      <c r="Q80" s="188"/>
      <c r="R80" s="188"/>
      <c r="S80" s="188"/>
      <c r="T80" s="188"/>
      <c r="U80" s="375"/>
      <c r="V80" s="375"/>
      <c r="W80" s="375"/>
      <c r="X80" s="79">
        <v>0</v>
      </c>
    </row>
    <row r="81" spans="1:30" s="195" customFormat="1" x14ac:dyDescent="0.3">
      <c r="A81" s="128" t="s">
        <v>134</v>
      </c>
      <c r="B81" s="51"/>
      <c r="C81" s="51"/>
      <c r="D81" s="51"/>
      <c r="E81" s="51"/>
      <c r="F81" s="51"/>
      <c r="G81" s="51"/>
      <c r="H81" s="51"/>
      <c r="I81" s="51"/>
      <c r="J81" s="51"/>
      <c r="K81" s="51"/>
      <c r="L81" s="51"/>
      <c r="M81" s="51"/>
      <c r="N81" s="51"/>
      <c r="O81" s="293"/>
      <c r="P81" s="51"/>
      <c r="Q81" s="51"/>
      <c r="R81" s="51"/>
      <c r="S81" s="51"/>
      <c r="T81" s="51"/>
      <c r="U81" s="58"/>
      <c r="V81" s="58"/>
      <c r="W81" s="58"/>
      <c r="X81" s="79">
        <v>500</v>
      </c>
    </row>
    <row r="82" spans="1:30" s="195" customFormat="1" x14ac:dyDescent="0.3">
      <c r="A82" s="78" t="s">
        <v>1</v>
      </c>
      <c r="B82" s="51">
        <v>2866.61</v>
      </c>
      <c r="C82" s="51">
        <v>1926.44</v>
      </c>
      <c r="D82" s="51">
        <f>2050.63+1565.93-251.52</f>
        <v>3365.0400000000004</v>
      </c>
      <c r="E82" s="51">
        <v>2373.1</v>
      </c>
      <c r="F82" s="51">
        <v>2476.1</v>
      </c>
      <c r="G82" s="51">
        <v>1909.27</v>
      </c>
      <c r="H82" s="51">
        <v>1954.9</v>
      </c>
      <c r="I82" s="51"/>
      <c r="J82" s="51"/>
      <c r="K82" s="51"/>
      <c r="L82" s="51"/>
      <c r="M82" s="51"/>
      <c r="N82" s="79">
        <f t="shared" ref="N82:N90" si="16">SUM(B82:M82)</f>
        <v>16871.460000000003</v>
      </c>
      <c r="O82" s="289">
        <f t="shared" ref="O82:O91" si="17">N82/P82</f>
        <v>4.1351617647058836</v>
      </c>
      <c r="P82" s="51">
        <f>+'budget entry'!F125</f>
        <v>4079.9999999999995</v>
      </c>
      <c r="Q82" s="51">
        <v>37000</v>
      </c>
      <c r="R82" s="51">
        <v>33380</v>
      </c>
      <c r="S82" s="51">
        <v>36000</v>
      </c>
      <c r="T82" s="51">
        <v>35000</v>
      </c>
      <c r="U82" s="58"/>
      <c r="V82" s="58"/>
      <c r="W82" s="58"/>
      <c r="X82" s="103">
        <v>1500</v>
      </c>
    </row>
    <row r="83" spans="1:30" s="195" customFormat="1" x14ac:dyDescent="0.3">
      <c r="A83" s="78" t="s">
        <v>497</v>
      </c>
      <c r="B83" s="51">
        <v>942.34</v>
      </c>
      <c r="C83" s="51">
        <v>636.79999999999995</v>
      </c>
      <c r="D83" s="51">
        <f>664.56+644.01-57.22</f>
        <v>1251.3499999999999</v>
      </c>
      <c r="E83" s="51">
        <v>838.29</v>
      </c>
      <c r="F83" s="51">
        <v>755.46</v>
      </c>
      <c r="G83" s="51">
        <v>632.35</v>
      </c>
      <c r="H83" s="51">
        <v>645.75</v>
      </c>
      <c r="I83" s="51"/>
      <c r="J83" s="51"/>
      <c r="K83" s="51"/>
      <c r="L83" s="51"/>
      <c r="M83" s="51"/>
      <c r="N83" s="79">
        <f t="shared" si="16"/>
        <v>5702.34</v>
      </c>
      <c r="O83" s="289">
        <f t="shared" si="17"/>
        <v>0.1036789090909091</v>
      </c>
      <c r="P83" s="51">
        <f>+'budget entry'!F126+'budget entry'!F127+'budget entry'!F128</f>
        <v>55000</v>
      </c>
      <c r="Q83" s="51">
        <v>15700</v>
      </c>
      <c r="R83" s="51">
        <v>14800</v>
      </c>
      <c r="S83" s="51">
        <f>500+6400+6600</f>
        <v>13500</v>
      </c>
      <c r="T83" s="51">
        <v>15590</v>
      </c>
      <c r="U83" s="58" t="s">
        <v>15</v>
      </c>
      <c r="V83" s="58"/>
      <c r="W83" s="58"/>
      <c r="X83" s="2">
        <f>SUM(X73:X82)</f>
        <v>40642</v>
      </c>
      <c r="AC83" s="463">
        <f>(H83*5)+N83</f>
        <v>8931.09</v>
      </c>
      <c r="AD83" s="463">
        <f>+P83-AC83</f>
        <v>46068.91</v>
      </c>
    </row>
    <row r="84" spans="1:30" s="195" customFormat="1" x14ac:dyDescent="0.3">
      <c r="A84" s="78" t="s">
        <v>139</v>
      </c>
      <c r="B84" s="51">
        <f>679+2048</f>
        <v>2727</v>
      </c>
      <c r="C84" s="51">
        <v>594</v>
      </c>
      <c r="D84" s="51">
        <f>3422.4-2047.6</f>
        <v>1374.8000000000002</v>
      </c>
      <c r="E84" s="51">
        <v>3111</v>
      </c>
      <c r="F84" s="51">
        <v>3495</v>
      </c>
      <c r="G84" s="51">
        <v>4775</v>
      </c>
      <c r="H84" s="51">
        <v>679</v>
      </c>
      <c r="I84" s="51"/>
      <c r="J84" s="51"/>
      <c r="K84" s="51"/>
      <c r="L84" s="51"/>
      <c r="M84" s="51"/>
      <c r="N84" s="79">
        <f t="shared" si="16"/>
        <v>16755.8</v>
      </c>
      <c r="O84" s="289">
        <f t="shared" si="17"/>
        <v>6.7023199999999994</v>
      </c>
      <c r="P84" s="51">
        <f>+'budget entry'!F129</f>
        <v>2500</v>
      </c>
      <c r="Q84" s="51">
        <v>30000</v>
      </c>
      <c r="R84" s="51">
        <v>30000</v>
      </c>
      <c r="S84" s="51">
        <v>36400</v>
      </c>
      <c r="T84" s="51">
        <v>30000</v>
      </c>
      <c r="U84" s="58"/>
      <c r="V84" s="58"/>
      <c r="W84" s="58"/>
      <c r="X84" s="78"/>
    </row>
    <row r="85" spans="1:30" s="195" customFormat="1" x14ac:dyDescent="0.3">
      <c r="A85" s="79" t="s">
        <v>10</v>
      </c>
      <c r="B85" s="51"/>
      <c r="C85" s="51">
        <v>471</v>
      </c>
      <c r="D85" s="51"/>
      <c r="E85" s="51"/>
      <c r="F85" s="51">
        <v>471</v>
      </c>
      <c r="G85" s="51"/>
      <c r="H85" s="51"/>
      <c r="I85" s="51"/>
      <c r="J85" s="51"/>
      <c r="K85" s="51"/>
      <c r="L85" s="51"/>
      <c r="M85" s="51"/>
      <c r="N85" s="79">
        <f t="shared" si="16"/>
        <v>942</v>
      </c>
      <c r="O85" s="289">
        <f t="shared" si="17"/>
        <v>4.7100000000000003E-2</v>
      </c>
      <c r="P85" s="51">
        <f>+'budget entry'!F130</f>
        <v>20000</v>
      </c>
      <c r="Q85" s="51">
        <v>3000</v>
      </c>
      <c r="R85" s="51">
        <v>6500</v>
      </c>
      <c r="S85" s="51">
        <v>6500</v>
      </c>
      <c r="T85" s="51">
        <v>6500</v>
      </c>
      <c r="U85" s="58"/>
      <c r="V85" s="58"/>
      <c r="W85" s="58"/>
      <c r="X85" s="215"/>
    </row>
    <row r="86" spans="1:30" s="195" customFormat="1" x14ac:dyDescent="0.3">
      <c r="A86" s="78" t="s">
        <v>8</v>
      </c>
      <c r="B86" s="51">
        <v>189.75</v>
      </c>
      <c r="C86" s="51"/>
      <c r="D86" s="51">
        <v>189.75</v>
      </c>
      <c r="E86" s="51">
        <v>189.75</v>
      </c>
      <c r="F86" s="51">
        <v>189.75</v>
      </c>
      <c r="G86" s="51">
        <v>189.75</v>
      </c>
      <c r="H86" s="51">
        <v>189.75</v>
      </c>
      <c r="I86" s="51"/>
      <c r="J86" s="51"/>
      <c r="K86" s="51"/>
      <c r="L86" s="51"/>
      <c r="M86" s="51"/>
      <c r="N86" s="79">
        <f t="shared" si="16"/>
        <v>1138.5</v>
      </c>
      <c r="O86" s="289">
        <f t="shared" si="17"/>
        <v>0.11385000000000001</v>
      </c>
      <c r="P86" s="51">
        <f>+'budget entry'!F131</f>
        <v>10000</v>
      </c>
      <c r="Q86" s="51">
        <v>2500</v>
      </c>
      <c r="R86" s="51">
        <v>4000</v>
      </c>
      <c r="S86" s="51">
        <v>4000</v>
      </c>
      <c r="T86" s="51">
        <v>4000</v>
      </c>
      <c r="U86" s="58"/>
      <c r="V86" s="58"/>
      <c r="W86" s="58"/>
      <c r="X86" s="215"/>
    </row>
    <row r="87" spans="1:30" s="195" customFormat="1" x14ac:dyDescent="0.3">
      <c r="A87" s="78" t="s">
        <v>46</v>
      </c>
      <c r="B87" s="51">
        <v>680</v>
      </c>
      <c r="C87" s="51">
        <v>1112.9000000000001</v>
      </c>
      <c r="D87" s="51">
        <v>0</v>
      </c>
      <c r="E87" s="51">
        <v>254.5</v>
      </c>
      <c r="F87" s="51">
        <v>179.31</v>
      </c>
      <c r="G87" s="51">
        <v>645</v>
      </c>
      <c r="H87" s="51">
        <v>303.91000000000003</v>
      </c>
      <c r="I87" s="51"/>
      <c r="J87" s="51"/>
      <c r="K87" s="51"/>
      <c r="L87" s="51"/>
      <c r="M87" s="51"/>
      <c r="N87" s="79">
        <f t="shared" si="16"/>
        <v>3175.62</v>
      </c>
      <c r="O87" s="289">
        <f t="shared" si="17"/>
        <v>4.6791813399737724E-2</v>
      </c>
      <c r="P87" s="51">
        <f>+'budget entry'!F132</f>
        <v>67867</v>
      </c>
      <c r="Q87" s="51">
        <v>9000</v>
      </c>
      <c r="R87" s="51">
        <v>15000</v>
      </c>
      <c r="S87" s="51">
        <v>9000</v>
      </c>
      <c r="T87" s="51">
        <v>2000</v>
      </c>
      <c r="U87" s="58"/>
      <c r="V87" s="58"/>
      <c r="W87" s="58"/>
      <c r="X87" s="64">
        <v>35859</v>
      </c>
    </row>
    <row r="88" spans="1:30" s="195" customFormat="1" x14ac:dyDescent="0.3">
      <c r="A88" s="78" t="s">
        <v>66</v>
      </c>
      <c r="B88" s="51">
        <v>16.010000000000002</v>
      </c>
      <c r="C88" s="51">
        <v>730.32</v>
      </c>
      <c r="D88" s="51">
        <v>918.5</v>
      </c>
      <c r="E88" s="51">
        <v>283.37</v>
      </c>
      <c r="F88" s="51">
        <v>323.88</v>
      </c>
      <c r="G88" s="51">
        <v>16.010000000000002</v>
      </c>
      <c r="H88" s="51">
        <v>1177.8800000000001</v>
      </c>
      <c r="I88" s="51"/>
      <c r="J88" s="51"/>
      <c r="K88" s="51"/>
      <c r="L88" s="51"/>
      <c r="M88" s="51"/>
      <c r="N88" s="79">
        <f t="shared" si="16"/>
        <v>3465.9700000000003</v>
      </c>
      <c r="O88" s="289">
        <f t="shared" si="17"/>
        <v>0.11553233333333335</v>
      </c>
      <c r="P88" s="51">
        <f>+'budget entry'!F133</f>
        <v>30000</v>
      </c>
      <c r="Q88" s="51">
        <v>10000</v>
      </c>
      <c r="R88" s="51">
        <v>8000</v>
      </c>
      <c r="S88" s="51">
        <v>10000</v>
      </c>
      <c r="T88" s="51">
        <v>8000</v>
      </c>
      <c r="U88" s="58"/>
      <c r="V88" s="58"/>
      <c r="W88" s="58"/>
      <c r="X88" s="64">
        <v>38000</v>
      </c>
    </row>
    <row r="89" spans="1:30" s="195" customFormat="1" x14ac:dyDescent="0.3">
      <c r="A89" s="78" t="s">
        <v>647</v>
      </c>
      <c r="B89" s="51"/>
      <c r="C89" s="51"/>
      <c r="D89" s="51"/>
      <c r="E89" s="51">
        <v>297.32</v>
      </c>
      <c r="F89" s="51"/>
      <c r="G89" s="51"/>
      <c r="H89" s="51">
        <v>924.83</v>
      </c>
      <c r="I89" s="51"/>
      <c r="J89" s="51"/>
      <c r="K89" s="51"/>
      <c r="L89" s="51"/>
      <c r="M89" s="51"/>
      <c r="N89" s="79">
        <f t="shared" si="16"/>
        <v>1222.1500000000001</v>
      </c>
      <c r="O89" s="289" t="e">
        <f t="shared" si="17"/>
        <v>#REF!</v>
      </c>
      <c r="P89" s="51" t="e">
        <f>+'budget entry'!#REF!</f>
        <v>#REF!</v>
      </c>
      <c r="Q89" s="51">
        <v>40000</v>
      </c>
      <c r="R89" s="51">
        <v>20000</v>
      </c>
      <c r="S89" s="51">
        <v>30000</v>
      </c>
      <c r="T89" s="51">
        <v>16947</v>
      </c>
      <c r="U89" s="58"/>
      <c r="V89" s="58"/>
      <c r="W89" s="58"/>
      <c r="X89" s="79">
        <f>5000+1500</f>
        <v>6500</v>
      </c>
    </row>
    <row r="90" spans="1:30" s="195" customFormat="1" x14ac:dyDescent="0.3">
      <c r="A90" s="78" t="s">
        <v>9</v>
      </c>
      <c r="B90" s="63">
        <v>1825.24</v>
      </c>
      <c r="C90" s="63">
        <v>1844.78</v>
      </c>
      <c r="D90" s="63">
        <v>2390.9</v>
      </c>
      <c r="E90" s="63">
        <v>2797.81</v>
      </c>
      <c r="F90" s="63">
        <v>2800.39</v>
      </c>
      <c r="G90" s="63">
        <v>4391.4399999999996</v>
      </c>
      <c r="H90" s="63">
        <v>3679.81</v>
      </c>
      <c r="I90" s="63"/>
      <c r="J90" s="63"/>
      <c r="K90" s="63"/>
      <c r="L90" s="63"/>
      <c r="M90" s="63"/>
      <c r="N90" s="103">
        <f t="shared" si="16"/>
        <v>19730.37</v>
      </c>
      <c r="O90" s="289" t="e">
        <f t="shared" si="17"/>
        <v>#DIV/0!</v>
      </c>
      <c r="P90" s="63">
        <f>+'budget entry'!F137</f>
        <v>0</v>
      </c>
      <c r="Q90" s="63">
        <v>35000</v>
      </c>
      <c r="R90" s="63">
        <v>45000</v>
      </c>
      <c r="S90" s="63">
        <v>45000</v>
      </c>
      <c r="T90" s="63">
        <v>60000</v>
      </c>
      <c r="U90" s="58"/>
      <c r="V90" s="58"/>
      <c r="W90" s="58"/>
      <c r="X90" s="78">
        <v>4000</v>
      </c>
    </row>
    <row r="91" spans="1:30" s="195" customFormat="1" x14ac:dyDescent="0.3">
      <c r="A91" s="2" t="s">
        <v>577</v>
      </c>
      <c r="B91" s="2">
        <f>SUM(B82:B90)</f>
        <v>9246.9500000000007</v>
      </c>
      <c r="C91" s="2">
        <f>SUM(C82:C90)</f>
        <v>7316.2399999999989</v>
      </c>
      <c r="D91" s="2">
        <f>SUM(D82:D90)</f>
        <v>9490.34</v>
      </c>
      <c r="E91" s="2">
        <f>SUM(E82:E90)</f>
        <v>10145.14</v>
      </c>
      <c r="F91" s="2">
        <f t="shared" ref="F91:M91" si="18">SUM(F82:F90)</f>
        <v>10690.89</v>
      </c>
      <c r="G91" s="2">
        <f t="shared" si="18"/>
        <v>12558.82</v>
      </c>
      <c r="H91" s="2">
        <f t="shared" si="18"/>
        <v>9555.83</v>
      </c>
      <c r="I91" s="2">
        <f t="shared" si="18"/>
        <v>0</v>
      </c>
      <c r="J91" s="2">
        <f t="shared" si="18"/>
        <v>0</v>
      </c>
      <c r="K91" s="2">
        <f t="shared" si="18"/>
        <v>0</v>
      </c>
      <c r="L91" s="2">
        <f t="shared" si="18"/>
        <v>0</v>
      </c>
      <c r="M91" s="2">
        <f t="shared" si="18"/>
        <v>0</v>
      </c>
      <c r="N91" s="2">
        <f>SUM(N82:N90)</f>
        <v>69004.210000000006</v>
      </c>
      <c r="O91" s="286" t="e">
        <f t="shared" si="17"/>
        <v>#REF!</v>
      </c>
      <c r="P91" s="2" t="e">
        <f>SUM(P82:P90)</f>
        <v>#REF!</v>
      </c>
      <c r="Q91" s="2">
        <f>SUM(Q82:Q90)</f>
        <v>182200</v>
      </c>
      <c r="R91" s="2">
        <f>SUM(R82:R90)</f>
        <v>176680</v>
      </c>
      <c r="S91" s="2">
        <f>SUM(S82:S90)</f>
        <v>190400</v>
      </c>
      <c r="T91" s="2">
        <f>SUM(T82:T90)</f>
        <v>178037</v>
      </c>
      <c r="U91" s="105"/>
      <c r="V91" s="105"/>
      <c r="W91" s="105"/>
      <c r="X91" s="78">
        <v>5000</v>
      </c>
    </row>
    <row r="92" spans="1:30" s="195" customFormat="1" ht="9" customHeight="1" x14ac:dyDescent="0.3">
      <c r="A92" s="51"/>
      <c r="B92" s="51"/>
      <c r="C92" s="51"/>
      <c r="D92" s="51"/>
      <c r="E92" s="51"/>
      <c r="F92" s="51"/>
      <c r="G92" s="51"/>
      <c r="H92" s="51"/>
      <c r="I92" s="51"/>
      <c r="J92" s="51"/>
      <c r="K92" s="51"/>
      <c r="L92" s="51"/>
      <c r="M92" s="51"/>
      <c r="N92" s="51"/>
      <c r="O92" s="293"/>
      <c r="P92" s="51"/>
      <c r="Q92" s="51"/>
      <c r="R92" s="51"/>
      <c r="S92" s="51"/>
      <c r="T92" s="51"/>
      <c r="U92" s="58"/>
      <c r="V92" s="58"/>
      <c r="W92" s="58"/>
      <c r="X92" s="79">
        <v>8000</v>
      </c>
    </row>
    <row r="93" spans="1:30" s="195" customFormat="1" x14ac:dyDescent="0.3">
      <c r="A93" s="128" t="s">
        <v>236</v>
      </c>
      <c r="B93" s="51"/>
      <c r="C93" s="51"/>
      <c r="D93" s="51"/>
      <c r="E93" s="51"/>
      <c r="F93" s="51"/>
      <c r="G93" s="51"/>
      <c r="H93" s="51"/>
      <c r="I93" s="51"/>
      <c r="J93" s="51"/>
      <c r="K93" s="51"/>
      <c r="L93" s="51"/>
      <c r="M93" s="51"/>
      <c r="N93" s="51"/>
      <c r="O93" s="293"/>
      <c r="P93" s="51"/>
      <c r="Q93" s="51"/>
      <c r="R93" s="51"/>
      <c r="S93" s="51"/>
      <c r="T93" s="51"/>
      <c r="U93" s="58"/>
      <c r="V93" s="58"/>
      <c r="W93" s="58"/>
      <c r="X93" s="79">
        <v>3000</v>
      </c>
    </row>
    <row r="94" spans="1:30" s="195" customFormat="1" x14ac:dyDescent="0.3">
      <c r="A94" s="78" t="s">
        <v>1</v>
      </c>
      <c r="B94" s="51"/>
      <c r="C94" s="51">
        <v>820.75</v>
      </c>
      <c r="D94" s="51">
        <f>221.25+936.24</f>
        <v>1157.49</v>
      </c>
      <c r="E94" s="51">
        <v>1309.25</v>
      </c>
      <c r="F94" s="51">
        <v>904.5</v>
      </c>
      <c r="G94" s="51">
        <v>766.84</v>
      </c>
      <c r="H94" s="51">
        <v>946.16</v>
      </c>
      <c r="I94" s="51"/>
      <c r="J94" s="51"/>
      <c r="K94" s="51"/>
      <c r="L94" s="51"/>
      <c r="M94" s="51"/>
      <c r="N94" s="79">
        <f>SUM(B94:M94)</f>
        <v>5904.99</v>
      </c>
      <c r="O94" s="289">
        <f>N94/P94</f>
        <v>1.180998</v>
      </c>
      <c r="P94" s="51">
        <f>+'budget entry'!F141</f>
        <v>5000</v>
      </c>
      <c r="Q94" s="51">
        <v>19500</v>
      </c>
      <c r="R94" s="51">
        <v>13000</v>
      </c>
      <c r="S94" s="51">
        <v>13000</v>
      </c>
      <c r="T94" s="51">
        <v>14080</v>
      </c>
      <c r="U94" s="58"/>
      <c r="V94" s="58"/>
      <c r="W94" s="58"/>
      <c r="X94" s="103">
        <v>60000</v>
      </c>
    </row>
    <row r="95" spans="1:30" s="195" customFormat="1" x14ac:dyDescent="0.3">
      <c r="A95" s="78" t="s">
        <v>497</v>
      </c>
      <c r="B95" s="51"/>
      <c r="C95" s="51">
        <v>186.82</v>
      </c>
      <c r="D95" s="51">
        <v>47.79</v>
      </c>
      <c r="E95" s="51">
        <v>295.83999999999997</v>
      </c>
      <c r="F95" s="51">
        <v>206.66</v>
      </c>
      <c r="G95" s="51">
        <v>174.01</v>
      </c>
      <c r="H95" s="51">
        <v>213.12</v>
      </c>
      <c r="I95" s="51"/>
      <c r="J95" s="51"/>
      <c r="K95" s="51"/>
      <c r="L95" s="51"/>
      <c r="M95" s="51"/>
      <c r="N95" s="79">
        <f>SUM(B95:M95)</f>
        <v>1124.2399999999998</v>
      </c>
      <c r="O95" s="289">
        <f>N95/P95</f>
        <v>1.6206429292201237E-2</v>
      </c>
      <c r="P95" s="51">
        <f>+'budget entry'!F142+'budget entry'!F143</f>
        <v>69370</v>
      </c>
      <c r="Q95" s="51">
        <v>4300</v>
      </c>
      <c r="R95" s="51">
        <v>3540</v>
      </c>
      <c r="S95" s="51">
        <f>240+3300</f>
        <v>3540</v>
      </c>
      <c r="T95" s="51">
        <v>3013</v>
      </c>
      <c r="U95" s="58"/>
      <c r="V95" s="58"/>
      <c r="W95" s="58"/>
      <c r="X95" s="2">
        <f>SUM(X87:X94)</f>
        <v>160359</v>
      </c>
    </row>
    <row r="96" spans="1:30" s="195" customFormat="1" x14ac:dyDescent="0.3">
      <c r="A96" s="78" t="s">
        <v>479</v>
      </c>
      <c r="B96" s="51"/>
      <c r="C96" s="51">
        <v>138</v>
      </c>
      <c r="D96" s="51">
        <f>399.7+207.42</f>
        <v>607.12</v>
      </c>
      <c r="E96" s="51">
        <v>702.65</v>
      </c>
      <c r="F96" s="51">
        <v>878.6</v>
      </c>
      <c r="G96" s="51">
        <v>348.65</v>
      </c>
      <c r="H96" s="51">
        <v>226</v>
      </c>
      <c r="I96" s="51"/>
      <c r="J96" s="51"/>
      <c r="K96" s="51"/>
      <c r="L96" s="51"/>
      <c r="M96" s="51"/>
      <c r="N96" s="79">
        <f>SUM(B96:M96)</f>
        <v>2901.02</v>
      </c>
      <c r="O96" s="289" t="e">
        <f>N96/P96</f>
        <v>#DIV/0!</v>
      </c>
      <c r="P96" s="51">
        <f>+'budget entry'!F144</f>
        <v>0</v>
      </c>
      <c r="Q96" s="51">
        <v>5000</v>
      </c>
      <c r="R96" s="51">
        <v>5000</v>
      </c>
      <c r="S96" s="51">
        <v>5000</v>
      </c>
      <c r="T96" s="51">
        <v>5000</v>
      </c>
      <c r="U96" s="58"/>
      <c r="V96" s="58"/>
      <c r="W96" s="58"/>
      <c r="X96" s="78"/>
    </row>
    <row r="97" spans="1:30" s="195" customFormat="1" x14ac:dyDescent="0.3">
      <c r="A97" s="78" t="s">
        <v>241</v>
      </c>
      <c r="B97" s="63"/>
      <c r="C97" s="63">
        <v>345.07</v>
      </c>
      <c r="D97" s="63">
        <f>11911.76-206.79</f>
        <v>11704.97</v>
      </c>
      <c r="E97" s="63">
        <v>2684.45</v>
      </c>
      <c r="F97" s="63">
        <v>5244.64</v>
      </c>
      <c r="G97" s="63">
        <v>116.67</v>
      </c>
      <c r="H97" s="63"/>
      <c r="I97" s="63"/>
      <c r="J97" s="63"/>
      <c r="K97" s="63"/>
      <c r="L97" s="63"/>
      <c r="M97" s="63"/>
      <c r="N97" s="103">
        <f>SUM(B97:M97)</f>
        <v>20095.799999999996</v>
      </c>
      <c r="O97" s="289" t="e">
        <f>N97/P97</f>
        <v>#DIV/0!</v>
      </c>
      <c r="P97" s="63">
        <f>+'budget entry'!F145</f>
        <v>0</v>
      </c>
      <c r="Q97" s="63">
        <v>20000</v>
      </c>
      <c r="R97" s="63">
        <v>8000</v>
      </c>
      <c r="S97" s="63">
        <v>8000</v>
      </c>
      <c r="T97" s="63">
        <v>8000</v>
      </c>
      <c r="U97" s="58"/>
      <c r="V97" s="58"/>
      <c r="W97" s="58"/>
      <c r="X97" s="78"/>
    </row>
    <row r="98" spans="1:30" s="195" customFormat="1" x14ac:dyDescent="0.3">
      <c r="A98" s="60" t="s">
        <v>236</v>
      </c>
      <c r="B98" s="87">
        <f>SUM(B94:B97)</f>
        <v>0</v>
      </c>
      <c r="C98" s="87">
        <f>SUM(C94:C97)</f>
        <v>1490.6399999999999</v>
      </c>
      <c r="D98" s="87">
        <f>SUM(D94:D97)</f>
        <v>13517.369999999999</v>
      </c>
      <c r="E98" s="87">
        <f>SUM(E94:E97)</f>
        <v>4992.1899999999996</v>
      </c>
      <c r="F98" s="87">
        <f t="shared" ref="F98:M98" si="19">SUM(F94:F97)</f>
        <v>7234.4000000000005</v>
      </c>
      <c r="G98" s="87">
        <f t="shared" si="19"/>
        <v>1406.17</v>
      </c>
      <c r="H98" s="87">
        <f t="shared" si="19"/>
        <v>1385.28</v>
      </c>
      <c r="I98" s="87">
        <f t="shared" si="19"/>
        <v>0</v>
      </c>
      <c r="J98" s="87">
        <f t="shared" si="19"/>
        <v>0</v>
      </c>
      <c r="K98" s="87">
        <f t="shared" si="19"/>
        <v>0</v>
      </c>
      <c r="L98" s="87">
        <f t="shared" si="19"/>
        <v>0</v>
      </c>
      <c r="M98" s="87">
        <f t="shared" si="19"/>
        <v>0</v>
      </c>
      <c r="N98" s="87">
        <f>SUM(N94:N97)</f>
        <v>30026.049999999996</v>
      </c>
      <c r="O98" s="286">
        <f>N98/P98</f>
        <v>0.40373873873873867</v>
      </c>
      <c r="P98" s="87">
        <f>SUM(P94:P97)</f>
        <v>74370</v>
      </c>
      <c r="Q98" s="87">
        <f>SUM(Q94:Q97)</f>
        <v>48800</v>
      </c>
      <c r="R98" s="87">
        <f>SUM(R94:R97)</f>
        <v>29540</v>
      </c>
      <c r="S98" s="87">
        <f>SUM(S94:S97)</f>
        <v>29540</v>
      </c>
      <c r="T98" s="87">
        <f>SUM(T94:T97)</f>
        <v>30093</v>
      </c>
      <c r="U98" s="87"/>
      <c r="V98" s="87"/>
      <c r="W98" s="87"/>
      <c r="X98" s="51">
        <f>+'budget entry'!H140</f>
        <v>0</v>
      </c>
    </row>
    <row r="99" spans="1:30" s="195" customFormat="1" ht="11.25" customHeight="1" x14ac:dyDescent="0.3">
      <c r="A99" s="51"/>
      <c r="B99" s="58"/>
      <c r="C99" s="58"/>
      <c r="D99" s="58"/>
      <c r="E99" s="58"/>
      <c r="F99" s="58"/>
      <c r="G99" s="58"/>
      <c r="H99" s="58"/>
      <c r="I99" s="58"/>
      <c r="J99" s="58"/>
      <c r="K99" s="58"/>
      <c r="L99" s="58"/>
      <c r="M99" s="58"/>
      <c r="N99" s="58"/>
      <c r="O99" s="344"/>
      <c r="P99" s="58"/>
      <c r="Q99" s="58"/>
      <c r="R99" s="58"/>
      <c r="S99" s="58"/>
      <c r="T99" s="58"/>
      <c r="U99" s="58"/>
      <c r="V99" s="58"/>
      <c r="W99" s="58"/>
      <c r="X99" s="51">
        <f>+'budget entry'!H141+'budget entry'!H142</f>
        <v>0</v>
      </c>
    </row>
    <row r="100" spans="1:30" s="195" customFormat="1" x14ac:dyDescent="0.3">
      <c r="A100" s="128" t="s">
        <v>575</v>
      </c>
      <c r="B100" s="58"/>
      <c r="C100" s="58"/>
      <c r="D100" s="58"/>
      <c r="E100" s="58"/>
      <c r="F100" s="58"/>
      <c r="G100" s="58"/>
      <c r="H100" s="58"/>
      <c r="I100" s="58"/>
      <c r="J100" s="58"/>
      <c r="K100" s="58"/>
      <c r="L100" s="58"/>
      <c r="M100" s="58"/>
      <c r="N100" s="58"/>
      <c r="O100" s="344"/>
      <c r="P100" s="58"/>
      <c r="Q100" s="58"/>
      <c r="R100" s="58"/>
      <c r="S100" s="58"/>
      <c r="T100" s="58"/>
      <c r="U100" s="58"/>
      <c r="V100" s="58"/>
      <c r="W100" s="58"/>
      <c r="X100" s="51">
        <f>+'budget entry'!H143</f>
        <v>0</v>
      </c>
      <c r="AD100" s="477">
        <f>SUM(AD22:AD96)</f>
        <v>84439.24119999996</v>
      </c>
    </row>
    <row r="101" spans="1:30" s="195" customFormat="1" x14ac:dyDescent="0.3">
      <c r="A101" s="78" t="s">
        <v>480</v>
      </c>
      <c r="B101" s="58">
        <v>6346</v>
      </c>
      <c r="C101" s="58">
        <v>335.11</v>
      </c>
      <c r="D101" s="58">
        <v>444.96</v>
      </c>
      <c r="E101" s="58">
        <v>92.02</v>
      </c>
      <c r="F101" s="58">
        <v>158.04</v>
      </c>
      <c r="G101" s="58">
        <v>2500</v>
      </c>
      <c r="H101" s="58">
        <v>105</v>
      </c>
      <c r="I101" s="58"/>
      <c r="J101" s="58"/>
      <c r="K101" s="58"/>
      <c r="L101" s="58"/>
      <c r="M101" s="58"/>
      <c r="N101" s="79">
        <f t="shared" ref="N101:N107" si="20">SUM(B101:M101)</f>
        <v>9981.130000000001</v>
      </c>
      <c r="O101" s="286">
        <f t="shared" ref="O101:O108" si="21">N101/P101</f>
        <v>0.57035028571428581</v>
      </c>
      <c r="P101" s="58">
        <f>+'budget entry'!F149</f>
        <v>17500</v>
      </c>
      <c r="Q101" s="58">
        <v>10000</v>
      </c>
      <c r="R101" s="58">
        <v>18000</v>
      </c>
      <c r="S101" s="58">
        <v>10000</v>
      </c>
      <c r="T101" s="58">
        <v>5000</v>
      </c>
      <c r="U101" s="58"/>
      <c r="V101" s="58"/>
      <c r="W101" s="58"/>
      <c r="X101" s="51"/>
    </row>
    <row r="102" spans="1:30" s="195" customFormat="1" x14ac:dyDescent="0.3">
      <c r="A102" s="78" t="s">
        <v>228</v>
      </c>
      <c r="B102" s="58">
        <v>2449</v>
      </c>
      <c r="C102" s="58">
        <v>2449</v>
      </c>
      <c r="D102" s="58">
        <v>2449</v>
      </c>
      <c r="E102" s="58">
        <v>2449</v>
      </c>
      <c r="F102" s="58">
        <v>2449</v>
      </c>
      <c r="G102" s="58">
        <v>2449</v>
      </c>
      <c r="H102" s="58">
        <v>2449</v>
      </c>
      <c r="I102" s="58"/>
      <c r="J102" s="58"/>
      <c r="K102" s="58"/>
      <c r="L102" s="58"/>
      <c r="M102" s="58"/>
      <c r="N102" s="79">
        <f t="shared" si="20"/>
        <v>17143</v>
      </c>
      <c r="O102" s="286">
        <f t="shared" si="21"/>
        <v>17.143000000000001</v>
      </c>
      <c r="P102" s="58">
        <f>+'budget entry'!F150</f>
        <v>1000</v>
      </c>
      <c r="Q102" s="58">
        <v>30000</v>
      </c>
      <c r="R102" s="58">
        <v>32000</v>
      </c>
      <c r="S102" s="58">
        <v>35000</v>
      </c>
      <c r="T102" s="58">
        <v>40000</v>
      </c>
      <c r="U102" s="58"/>
      <c r="V102" s="58"/>
      <c r="W102" s="58"/>
      <c r="X102" s="51"/>
    </row>
    <row r="103" spans="1:30" s="195" customFormat="1" x14ac:dyDescent="0.3">
      <c r="A103" s="78" t="s">
        <v>47</v>
      </c>
      <c r="B103" s="58">
        <v>20</v>
      </c>
      <c r="C103" s="58">
        <v>5005.3999999999996</v>
      </c>
      <c r="D103" s="58"/>
      <c r="E103" s="58">
        <v>4440.6000000000004</v>
      </c>
      <c r="F103" s="58"/>
      <c r="G103" s="58"/>
      <c r="H103" s="58"/>
      <c r="I103" s="58"/>
      <c r="J103" s="58"/>
      <c r="K103" s="58"/>
      <c r="L103" s="58"/>
      <c r="M103" s="58"/>
      <c r="N103" s="79">
        <f t="shared" si="20"/>
        <v>9466</v>
      </c>
      <c r="O103" s="286">
        <f t="shared" si="21"/>
        <v>1.5776666666666668</v>
      </c>
      <c r="P103" s="58">
        <f>+'budget entry'!F151</f>
        <v>6000</v>
      </c>
      <c r="Q103" s="58">
        <v>20000</v>
      </c>
      <c r="R103" s="58">
        <v>15000</v>
      </c>
      <c r="S103" s="58">
        <v>17000</v>
      </c>
      <c r="T103" s="58">
        <v>17000</v>
      </c>
      <c r="U103" s="58"/>
      <c r="V103" s="58"/>
      <c r="W103" s="58"/>
      <c r="X103" s="51"/>
    </row>
    <row r="104" spans="1:30" s="195" customFormat="1" x14ac:dyDescent="0.3">
      <c r="A104" s="78" t="s">
        <v>11</v>
      </c>
      <c r="B104" s="58">
        <v>2080.31</v>
      </c>
      <c r="C104" s="58">
        <v>2150.02</v>
      </c>
      <c r="D104" s="58">
        <v>1848.09</v>
      </c>
      <c r="E104" s="58">
        <v>1999.03</v>
      </c>
      <c r="F104" s="58">
        <v>2027.02</v>
      </c>
      <c r="G104" s="58">
        <v>2000.21</v>
      </c>
      <c r="H104" s="58">
        <v>187.63</v>
      </c>
      <c r="I104" s="58"/>
      <c r="J104" s="58"/>
      <c r="K104" s="58"/>
      <c r="L104" s="58"/>
      <c r="M104" s="58"/>
      <c r="N104" s="79">
        <f t="shared" si="20"/>
        <v>12292.31</v>
      </c>
      <c r="O104" s="286">
        <f t="shared" si="21"/>
        <v>5.302981018119068</v>
      </c>
      <c r="P104" s="58">
        <f>+'budget entry'!F152</f>
        <v>2318</v>
      </c>
      <c r="Q104" s="58">
        <v>17500</v>
      </c>
      <c r="R104" s="58">
        <v>15000</v>
      </c>
      <c r="S104" s="58">
        <v>24600</v>
      </c>
      <c r="T104" s="58">
        <v>24600</v>
      </c>
      <c r="U104" s="58"/>
      <c r="V104" s="58"/>
      <c r="W104" s="58"/>
      <c r="X104" s="58">
        <f>+'budget entry'!H144</f>
        <v>0</v>
      </c>
    </row>
    <row r="105" spans="1:30" s="195" customFormat="1" x14ac:dyDescent="0.3">
      <c r="A105" s="78" t="s">
        <v>12</v>
      </c>
      <c r="B105" s="58"/>
      <c r="C105" s="58">
        <v>63.84</v>
      </c>
      <c r="D105" s="58">
        <v>113.34</v>
      </c>
      <c r="E105" s="58">
        <v>6.85</v>
      </c>
      <c r="F105" s="58">
        <v>39.5</v>
      </c>
      <c r="G105" s="58">
        <v>75.63</v>
      </c>
      <c r="H105" s="58">
        <v>162.19999999999999</v>
      </c>
      <c r="I105" s="58"/>
      <c r="J105" s="58"/>
      <c r="K105" s="58"/>
      <c r="L105" s="58"/>
      <c r="M105" s="58"/>
      <c r="N105" s="79">
        <f t="shared" si="20"/>
        <v>461.35999999999996</v>
      </c>
      <c r="O105" s="286">
        <f t="shared" si="21"/>
        <v>4.2397397489385945E-3</v>
      </c>
      <c r="P105" s="58">
        <f>+'budget entry'!F153</f>
        <v>108818</v>
      </c>
      <c r="Q105" s="58">
        <v>1000</v>
      </c>
      <c r="R105" s="58">
        <v>3000</v>
      </c>
      <c r="S105" s="58">
        <v>3000</v>
      </c>
      <c r="T105" s="58">
        <v>3000</v>
      </c>
      <c r="U105" s="58"/>
      <c r="V105" s="58"/>
      <c r="W105" s="58"/>
      <c r="X105" s="78"/>
    </row>
    <row r="106" spans="1:30" s="195" customFormat="1" x14ac:dyDescent="0.3">
      <c r="A106" s="78" t="s">
        <v>13</v>
      </c>
      <c r="B106" s="58"/>
      <c r="C106" s="58"/>
      <c r="D106" s="58"/>
      <c r="E106" s="58">
        <v>0</v>
      </c>
      <c r="F106" s="58"/>
      <c r="G106" s="58"/>
      <c r="H106" s="58"/>
      <c r="I106" s="58"/>
      <c r="J106" s="58"/>
      <c r="K106" s="58"/>
      <c r="L106" s="58"/>
      <c r="M106" s="58"/>
      <c r="N106" s="79">
        <f t="shared" si="20"/>
        <v>0</v>
      </c>
      <c r="O106" s="286" t="e">
        <f t="shared" si="21"/>
        <v>#DIV/0!</v>
      </c>
      <c r="P106" s="58">
        <f>+'budget entry'!F154</f>
        <v>0</v>
      </c>
      <c r="Q106" s="58">
        <v>3000</v>
      </c>
      <c r="R106" s="58">
        <v>5000</v>
      </c>
      <c r="S106" s="58">
        <v>5600</v>
      </c>
      <c r="T106" s="58">
        <v>5600</v>
      </c>
      <c r="U106" s="58"/>
      <c r="V106" s="58"/>
      <c r="W106" s="58"/>
      <c r="X106" s="78"/>
    </row>
    <row r="107" spans="1:30" s="195" customFormat="1" x14ac:dyDescent="0.3">
      <c r="A107" s="78" t="s">
        <v>64</v>
      </c>
      <c r="B107" s="63"/>
      <c r="C107" s="63">
        <v>734.02</v>
      </c>
      <c r="D107" s="63">
        <v>735</v>
      </c>
      <c r="E107" s="63">
        <v>735</v>
      </c>
      <c r="F107" s="63"/>
      <c r="G107" s="63"/>
      <c r="H107" s="63"/>
      <c r="I107" s="63"/>
      <c r="J107" s="63"/>
      <c r="K107" s="63"/>
      <c r="L107" s="63"/>
      <c r="M107" s="63"/>
      <c r="N107" s="103">
        <f t="shared" si="20"/>
        <v>2204.02</v>
      </c>
      <c r="O107" s="286" t="e">
        <f t="shared" si="21"/>
        <v>#DIV/0!</v>
      </c>
      <c r="P107" s="63">
        <f>+'budget entry'!F155</f>
        <v>0</v>
      </c>
      <c r="Q107" s="63">
        <v>10000</v>
      </c>
      <c r="R107" s="63">
        <v>10000</v>
      </c>
      <c r="S107" s="58">
        <v>12000</v>
      </c>
      <c r="T107" s="58">
        <v>15000</v>
      </c>
      <c r="U107" s="58"/>
      <c r="V107" s="58"/>
      <c r="W107" s="58"/>
      <c r="X107" s="78">
        <v>44280</v>
      </c>
    </row>
    <row r="108" spans="1:30" s="195" customFormat="1" x14ac:dyDescent="0.3">
      <c r="A108" s="2" t="s">
        <v>575</v>
      </c>
      <c r="B108" s="105">
        <f t="shared" ref="B108:M108" si="22">SUM(B101:B107)</f>
        <v>10895.31</v>
      </c>
      <c r="C108" s="105">
        <f t="shared" si="22"/>
        <v>10737.390000000001</v>
      </c>
      <c r="D108" s="105">
        <f t="shared" si="22"/>
        <v>5590.39</v>
      </c>
      <c r="E108" s="105">
        <f t="shared" si="22"/>
        <v>9722.5000000000018</v>
      </c>
      <c r="F108" s="105">
        <f t="shared" si="22"/>
        <v>4673.5599999999995</v>
      </c>
      <c r="G108" s="105">
        <f t="shared" si="22"/>
        <v>7024.84</v>
      </c>
      <c r="H108" s="105">
        <f t="shared" si="22"/>
        <v>2903.83</v>
      </c>
      <c r="I108" s="105">
        <f t="shared" si="22"/>
        <v>0</v>
      </c>
      <c r="J108" s="105">
        <f t="shared" si="22"/>
        <v>0</v>
      </c>
      <c r="K108" s="105">
        <f t="shared" si="22"/>
        <v>0</v>
      </c>
      <c r="L108" s="105">
        <f t="shared" si="22"/>
        <v>0</v>
      </c>
      <c r="M108" s="105">
        <f t="shared" si="22"/>
        <v>0</v>
      </c>
      <c r="N108" s="105">
        <f>SUM(N101:N107)</f>
        <v>51547.82</v>
      </c>
      <c r="O108" s="286">
        <f t="shared" si="21"/>
        <v>0.38004526821787726</v>
      </c>
      <c r="P108" s="105">
        <f>SUM(P101:P107)</f>
        <v>135636</v>
      </c>
      <c r="Q108" s="105">
        <f>SUM(Q101:Q107)</f>
        <v>91500</v>
      </c>
      <c r="R108" s="105">
        <f>SUM(R101:R107)</f>
        <v>98000</v>
      </c>
      <c r="S108" s="105">
        <f>SUM(S101:S107)</f>
        <v>107200</v>
      </c>
      <c r="T108" s="105">
        <f>SUM(T101:T107)</f>
        <v>110200</v>
      </c>
      <c r="U108" s="105"/>
      <c r="V108" s="105"/>
      <c r="W108" s="105"/>
      <c r="X108" s="78">
        <v>0</v>
      </c>
    </row>
    <row r="109" spans="1:30" s="195" customFormat="1" x14ac:dyDescent="0.3">
      <c r="A109" s="51"/>
      <c r="B109" s="375"/>
      <c r="C109" s="375"/>
      <c r="D109" s="375"/>
      <c r="E109" s="375"/>
      <c r="F109" s="375"/>
      <c r="G109" s="375"/>
      <c r="H109" s="375"/>
      <c r="I109" s="375"/>
      <c r="J109" s="375"/>
      <c r="K109" s="375"/>
      <c r="L109" s="375"/>
      <c r="M109" s="375"/>
      <c r="N109" s="375"/>
      <c r="O109" s="346"/>
      <c r="P109" s="375"/>
      <c r="Q109" s="375"/>
      <c r="R109" s="375"/>
      <c r="S109" s="375"/>
      <c r="T109" s="375"/>
      <c r="U109" s="375"/>
      <c r="V109" s="375"/>
      <c r="W109" s="375"/>
      <c r="X109" s="78">
        <v>5000</v>
      </c>
    </row>
    <row r="110" spans="1:30" s="195" customFormat="1" x14ac:dyDescent="0.3">
      <c r="A110" s="60" t="s">
        <v>481</v>
      </c>
      <c r="B110" s="84">
        <v>26847.17</v>
      </c>
      <c r="C110" s="84">
        <v>25817.77</v>
      </c>
      <c r="D110" s="84">
        <v>26117.77</v>
      </c>
      <c r="E110" s="84">
        <v>25817.77</v>
      </c>
      <c r="F110" s="84">
        <v>25817.77</v>
      </c>
      <c r="G110" s="84">
        <v>25817.77</v>
      </c>
      <c r="H110" s="84">
        <v>25817.77</v>
      </c>
      <c r="I110" s="84"/>
      <c r="J110" s="84"/>
      <c r="K110" s="84"/>
      <c r="L110" s="84"/>
      <c r="M110" s="84"/>
      <c r="N110" s="257">
        <f>SUM(B110:M110)</f>
        <v>182053.79</v>
      </c>
      <c r="O110" s="345">
        <f>N110/P110</f>
        <v>159.9769683655536</v>
      </c>
      <c r="P110" s="84">
        <f>+'budget entry'!F158</f>
        <v>1138</v>
      </c>
      <c r="Q110" s="84">
        <v>310000</v>
      </c>
      <c r="R110" s="84">
        <v>310000</v>
      </c>
      <c r="S110" s="84">
        <v>310000</v>
      </c>
      <c r="T110" s="84">
        <v>310000</v>
      </c>
      <c r="U110" s="87"/>
      <c r="V110" s="87"/>
      <c r="W110" s="87"/>
      <c r="X110" s="79">
        <v>8000</v>
      </c>
    </row>
    <row r="111" spans="1:30" x14ac:dyDescent="0.3">
      <c r="B111" s="376"/>
      <c r="C111" s="376"/>
      <c r="D111" s="376"/>
      <c r="E111" s="376"/>
      <c r="F111" s="376"/>
      <c r="G111" s="376"/>
      <c r="H111" s="376" t="s">
        <v>15</v>
      </c>
      <c r="I111" s="376"/>
      <c r="J111" s="376"/>
      <c r="K111" s="376"/>
      <c r="L111" s="376"/>
      <c r="M111" s="376"/>
      <c r="N111" s="376"/>
      <c r="O111" s="377"/>
      <c r="P111" s="376"/>
      <c r="Q111" s="376"/>
      <c r="R111" s="376"/>
      <c r="S111" s="87" t="s">
        <v>15</v>
      </c>
      <c r="T111" s="376"/>
      <c r="U111" s="375"/>
      <c r="V111" s="375"/>
      <c r="W111" s="375"/>
      <c r="X111" s="103">
        <v>15000</v>
      </c>
    </row>
    <row r="112" spans="1:30" x14ac:dyDescent="0.3">
      <c r="A112" s="316" t="s">
        <v>50</v>
      </c>
      <c r="B112" s="326">
        <f t="shared" ref="B112:N112" si="23">+B110+B108+B98+B91+B79+B66+B57+B44+B39+B31</f>
        <v>184044.66999999998</v>
      </c>
      <c r="C112" s="326">
        <f t="shared" si="23"/>
        <v>200886.06999999998</v>
      </c>
      <c r="D112" s="326">
        <f t="shared" si="23"/>
        <v>193604.22999999998</v>
      </c>
      <c r="E112" s="326">
        <f t="shared" si="23"/>
        <v>198273.86000000004</v>
      </c>
      <c r="F112" s="326">
        <f t="shared" si="23"/>
        <v>185368.75</v>
      </c>
      <c r="G112" s="326">
        <f t="shared" si="23"/>
        <v>195623.5</v>
      </c>
      <c r="H112" s="326">
        <f t="shared" si="23"/>
        <v>162155.32999999999</v>
      </c>
      <c r="I112" s="326">
        <f t="shared" si="23"/>
        <v>0</v>
      </c>
      <c r="J112" s="326">
        <f t="shared" si="23"/>
        <v>0</v>
      </c>
      <c r="K112" s="326">
        <f t="shared" si="23"/>
        <v>0</v>
      </c>
      <c r="L112" s="326">
        <f t="shared" si="23"/>
        <v>0</v>
      </c>
      <c r="M112" s="326">
        <f t="shared" si="23"/>
        <v>0</v>
      </c>
      <c r="N112" s="326">
        <f t="shared" si="23"/>
        <v>1319956.4100000001</v>
      </c>
      <c r="O112" s="327" t="e">
        <f>N112/P112</f>
        <v>#REF!</v>
      </c>
      <c r="P112" s="326" t="e">
        <f>+P110+P108+P98+P91+P79+P66+P57+P44+P39+P31</f>
        <v>#REF!</v>
      </c>
      <c r="Q112" s="326">
        <f>+Q110+Q108+Q98+Q91+Q79+Q66+Q57+Q44+Q39+Q31</f>
        <v>2345812</v>
      </c>
      <c r="R112" s="326">
        <f>+R110+R108+R98+R91+R79+R66+R57+R44+R39+R31</f>
        <v>2777514</v>
      </c>
      <c r="S112" s="326">
        <f>+S110+S108+S98+S91+S79+S66+S57+S44+S39+S31</f>
        <v>2566064</v>
      </c>
      <c r="T112" s="326">
        <f>+T110+T108+T98+T91+T79+T66+T57+T44+T39+T31</f>
        <v>2392866</v>
      </c>
      <c r="U112" s="87" t="s">
        <v>15</v>
      </c>
      <c r="V112" s="87"/>
      <c r="W112" s="87"/>
      <c r="X112" s="105">
        <f>SUM(X107:X111)</f>
        <v>72280</v>
      </c>
      <c r="AB112" s="353" t="s">
        <v>15</v>
      </c>
    </row>
    <row r="113" spans="1:24" ht="12" customHeight="1" x14ac:dyDescent="0.3">
      <c r="B113" s="265"/>
      <c r="C113" s="265"/>
      <c r="D113" s="265"/>
      <c r="E113" s="265"/>
      <c r="F113" s="265"/>
      <c r="G113" s="265"/>
      <c r="H113" s="265"/>
      <c r="I113" s="265"/>
      <c r="J113" s="265"/>
      <c r="K113" s="265"/>
      <c r="L113" s="265"/>
      <c r="M113" s="265"/>
      <c r="N113" s="265"/>
      <c r="O113" s="290"/>
      <c r="P113" s="265"/>
      <c r="Q113" s="265"/>
      <c r="R113" s="265"/>
      <c r="S113" s="265"/>
      <c r="T113" s="265"/>
      <c r="U113" s="375"/>
      <c r="V113" s="375"/>
      <c r="W113" s="375"/>
      <c r="X113" s="78"/>
    </row>
    <row r="114" spans="1:24" ht="15" thickBot="1" x14ac:dyDescent="0.35">
      <c r="A114" s="316" t="s">
        <v>482</v>
      </c>
      <c r="B114" s="328">
        <f>B17-B112</f>
        <v>24994.830000000016</v>
      </c>
      <c r="C114" s="328">
        <f t="shared" ref="C114:N114" si="24">+C17-C112</f>
        <v>67538.930000000022</v>
      </c>
      <c r="D114" s="328">
        <f t="shared" si="24"/>
        <v>-78666.109999999986</v>
      </c>
      <c r="E114" s="328">
        <f t="shared" si="24"/>
        <v>-4870.1300000000629</v>
      </c>
      <c r="F114" s="328">
        <f t="shared" si="24"/>
        <v>11068.01999999999</v>
      </c>
      <c r="G114" s="328">
        <f t="shared" si="24"/>
        <v>-15814.73000000001</v>
      </c>
      <c r="H114" s="328">
        <f t="shared" si="24"/>
        <v>20437.290000000008</v>
      </c>
      <c r="I114" s="328">
        <f t="shared" si="24"/>
        <v>183903.53</v>
      </c>
      <c r="J114" s="328">
        <f t="shared" si="24"/>
        <v>0</v>
      </c>
      <c r="K114" s="328">
        <f t="shared" si="24"/>
        <v>0</v>
      </c>
      <c r="L114" s="328">
        <f t="shared" si="24"/>
        <v>0</v>
      </c>
      <c r="M114" s="328">
        <f t="shared" si="24"/>
        <v>0</v>
      </c>
      <c r="N114" s="328">
        <f t="shared" si="24"/>
        <v>208591.62999999989</v>
      </c>
      <c r="O114" s="329"/>
      <c r="P114" s="328" t="e">
        <f>P17-P112</f>
        <v>#VALUE!</v>
      </c>
      <c r="Q114" s="328">
        <f>Q17-Q112</f>
        <v>1272</v>
      </c>
      <c r="R114" s="328">
        <f>R17-R112</f>
        <v>1791</v>
      </c>
      <c r="S114" s="328">
        <f>S17-S112</f>
        <v>338</v>
      </c>
      <c r="T114" s="328">
        <f>T17-T112</f>
        <v>73541</v>
      </c>
      <c r="U114" s="87"/>
      <c r="V114" s="87"/>
      <c r="W114" s="87"/>
      <c r="X114" s="212">
        <v>310000</v>
      </c>
    </row>
    <row r="115" spans="1:24" ht="12.75" customHeight="1" thickTop="1" x14ac:dyDescent="0.3">
      <c r="P115" s="265"/>
      <c r="Q115" s="265"/>
      <c r="R115" s="265"/>
      <c r="S115" s="265"/>
      <c r="T115" s="265"/>
      <c r="U115" s="375"/>
      <c r="V115" s="375"/>
      <c r="W115" s="375"/>
      <c r="X115" s="78"/>
    </row>
    <row r="116" spans="1:24" x14ac:dyDescent="0.3">
      <c r="A116" s="62" t="s">
        <v>483</v>
      </c>
      <c r="B116" s="62"/>
      <c r="C116" s="62"/>
      <c r="D116" s="62"/>
      <c r="E116" s="62"/>
      <c r="F116" s="62"/>
      <c r="G116" s="62"/>
      <c r="H116" s="62"/>
      <c r="I116" s="62"/>
      <c r="J116" s="62"/>
      <c r="K116" s="62"/>
      <c r="L116" s="62"/>
      <c r="M116" s="62"/>
      <c r="N116" s="62"/>
      <c r="O116" s="292"/>
      <c r="P116" s="257">
        <v>284110</v>
      </c>
      <c r="Q116" s="257">
        <v>284110</v>
      </c>
      <c r="R116" s="257">
        <v>284110</v>
      </c>
      <c r="S116" s="257">
        <v>91582</v>
      </c>
      <c r="T116" s="257">
        <v>77516</v>
      </c>
      <c r="U116" s="105"/>
      <c r="V116" s="105"/>
      <c r="W116" s="105"/>
      <c r="X116" s="326">
        <f>+X114+X112+X102+X95+X83+X70+X57+X44+X39+X31</f>
        <v>2395502</v>
      </c>
    </row>
    <row r="117" spans="1:24" ht="15" thickBot="1" x14ac:dyDescent="0.35">
      <c r="A117" s="62" t="s">
        <v>588</v>
      </c>
      <c r="B117" s="62"/>
      <c r="C117" s="62"/>
      <c r="D117" s="62"/>
      <c r="E117" s="62"/>
      <c r="F117" s="62"/>
      <c r="G117" s="62"/>
      <c r="H117" s="62"/>
      <c r="I117" s="62"/>
      <c r="J117" s="62"/>
      <c r="K117" s="62"/>
      <c r="L117" s="62"/>
      <c r="M117" s="62"/>
      <c r="N117" s="62"/>
      <c r="O117" s="292"/>
      <c r="P117" s="266" t="e">
        <f>+P116+P114</f>
        <v>#VALUE!</v>
      </c>
      <c r="Q117" s="266">
        <f>+Q116+Q114</f>
        <v>285382</v>
      </c>
      <c r="R117" s="266">
        <f>+R116+R114</f>
        <v>285901</v>
      </c>
      <c r="S117" s="266">
        <f>+S116+S114</f>
        <v>91920</v>
      </c>
      <c r="T117" s="266">
        <f>+T116+T114</f>
        <v>151057</v>
      </c>
      <c r="U117" s="388"/>
      <c r="V117" s="87"/>
      <c r="W117" s="87"/>
      <c r="X117" s="78"/>
    </row>
    <row r="118" spans="1:24" ht="15.6" thickTop="1" thickBot="1" x14ac:dyDescent="0.35">
      <c r="X118" s="328">
        <f>X17-X116</f>
        <v>5674.9199999999255</v>
      </c>
    </row>
    <row r="119" spans="1:24" ht="15" thickTop="1" x14ac:dyDescent="0.3">
      <c r="A119" s="62" t="s">
        <v>619</v>
      </c>
      <c r="B119" s="62"/>
      <c r="C119" s="62"/>
      <c r="D119" s="62"/>
      <c r="E119" s="62"/>
      <c r="F119" s="62"/>
      <c r="G119" s="62"/>
      <c r="H119" s="62"/>
      <c r="I119" s="62"/>
      <c r="J119" s="62"/>
      <c r="K119" s="62"/>
      <c r="L119" s="62"/>
      <c r="M119" s="62"/>
      <c r="N119" s="62"/>
      <c r="O119" s="292"/>
      <c r="P119" s="458" t="e">
        <f>P117/(P112/365)</f>
        <v>#VALUE!</v>
      </c>
      <c r="X119" s="78"/>
    </row>
    <row r="120" spans="1:24" x14ac:dyDescent="0.3">
      <c r="X120" s="212" t="s">
        <v>15</v>
      </c>
    </row>
    <row r="121" spans="1:24" x14ac:dyDescent="0.3">
      <c r="A121" s="51"/>
      <c r="B121" s="51"/>
      <c r="C121" s="51"/>
      <c r="D121" s="51"/>
      <c r="E121" s="51"/>
      <c r="F121" s="51"/>
      <c r="G121" s="51"/>
      <c r="H121" s="51"/>
      <c r="I121" s="51"/>
      <c r="J121" s="51"/>
      <c r="K121" s="51"/>
      <c r="L121" s="51"/>
      <c r="M121" s="51"/>
      <c r="N121" s="51"/>
      <c r="O121" s="293"/>
      <c r="P121" s="51"/>
      <c r="Q121" s="51"/>
      <c r="R121" s="51"/>
      <c r="S121" s="51"/>
      <c r="T121" s="51"/>
      <c r="U121" s="51"/>
      <c r="X121" s="105"/>
    </row>
    <row r="122" spans="1:24" x14ac:dyDescent="0.3">
      <c r="X122" s="105"/>
    </row>
    <row r="123" spans="1:24" x14ac:dyDescent="0.3">
      <c r="P123" s="268"/>
      <c r="Q123" s="268"/>
      <c r="R123" s="268"/>
      <c r="S123" s="268"/>
      <c r="T123" s="268"/>
      <c r="U123" s="268"/>
      <c r="V123" s="344"/>
      <c r="W123" s="344"/>
      <c r="X123" s="105"/>
    </row>
    <row r="124" spans="1:24" x14ac:dyDescent="0.3">
      <c r="P124" s="268"/>
      <c r="Q124" s="268"/>
      <c r="R124" s="268"/>
      <c r="S124" s="268"/>
      <c r="T124" s="268"/>
      <c r="U124" s="268"/>
      <c r="V124" s="344"/>
      <c r="W124" s="344"/>
      <c r="X124" s="105"/>
    </row>
    <row r="125" spans="1:24" x14ac:dyDescent="0.3">
      <c r="X125" s="111"/>
    </row>
    <row r="126" spans="1:24" x14ac:dyDescent="0.3">
      <c r="P126" s="268"/>
      <c r="Q126" s="268"/>
      <c r="R126" s="268"/>
      <c r="S126" s="268"/>
      <c r="T126" s="268"/>
      <c r="U126" s="268"/>
      <c r="V126" s="344"/>
      <c r="W126" s="344"/>
      <c r="X126" s="387"/>
    </row>
    <row r="127" spans="1:24" x14ac:dyDescent="0.3">
      <c r="P127" s="268"/>
      <c r="Q127" s="268"/>
      <c r="R127" s="268"/>
      <c r="S127" s="268"/>
      <c r="T127" s="268"/>
      <c r="U127" s="268"/>
      <c r="V127" s="344"/>
      <c r="W127" s="344"/>
      <c r="X127" s="79"/>
    </row>
    <row r="128" spans="1:24" x14ac:dyDescent="0.3">
      <c r="X128" s="79"/>
    </row>
    <row r="129" spans="16:24" x14ac:dyDescent="0.3">
      <c r="X129" s="79"/>
    </row>
    <row r="130" spans="16:24" x14ac:dyDescent="0.3">
      <c r="X130" s="78"/>
    </row>
    <row r="131" spans="16:24" x14ac:dyDescent="0.3">
      <c r="P131" s="262"/>
      <c r="Q131" s="262"/>
      <c r="R131" s="262"/>
      <c r="S131" s="262"/>
      <c r="T131" s="262"/>
      <c r="U131" s="262"/>
      <c r="V131" s="76"/>
      <c r="W131" s="76"/>
      <c r="X131" s="78"/>
    </row>
    <row r="132" spans="16:24" x14ac:dyDescent="0.3">
      <c r="P132" s="262"/>
      <c r="Q132" s="262"/>
      <c r="R132" s="262"/>
      <c r="S132" s="262"/>
      <c r="T132" s="262"/>
      <c r="U132" s="262"/>
      <c r="V132" s="76"/>
      <c r="W132" s="76"/>
      <c r="X132" s="78"/>
    </row>
    <row r="133" spans="16:24" x14ac:dyDescent="0.3">
      <c r="X133" s="78"/>
    </row>
    <row r="134" spans="16:24" x14ac:dyDescent="0.3">
      <c r="P134" s="122"/>
      <c r="Q134" s="122"/>
      <c r="R134" s="122"/>
      <c r="S134" s="122"/>
      <c r="T134" s="122"/>
      <c r="U134" s="122"/>
      <c r="V134" s="390"/>
      <c r="W134" s="390"/>
      <c r="X134" s="78"/>
    </row>
    <row r="135" spans="16:24" x14ac:dyDescent="0.3">
      <c r="X135" s="78"/>
    </row>
    <row r="136" spans="16:24" x14ac:dyDescent="0.3">
      <c r="X136" s="78"/>
    </row>
    <row r="137" spans="16:24" x14ac:dyDescent="0.3">
      <c r="X137" s="78"/>
    </row>
    <row r="138" spans="16:24" x14ac:dyDescent="0.3">
      <c r="X138" s="78"/>
    </row>
    <row r="139" spans="16:24" x14ac:dyDescent="0.3">
      <c r="X139" s="78"/>
    </row>
    <row r="140" spans="16:24" x14ac:dyDescent="0.3">
      <c r="X140" s="78"/>
    </row>
    <row r="141" spans="16:24" x14ac:dyDescent="0.3">
      <c r="X141" s="78"/>
    </row>
    <row r="142" spans="16:24" x14ac:dyDescent="0.3">
      <c r="X142" s="78"/>
    </row>
    <row r="143" spans="16:24" x14ac:dyDescent="0.3">
      <c r="X143" s="78"/>
    </row>
    <row r="144" spans="16:24" x14ac:dyDescent="0.3">
      <c r="X144" s="78"/>
    </row>
    <row r="145" spans="24:24" x14ac:dyDescent="0.3">
      <c r="X145" s="78"/>
    </row>
    <row r="146" spans="24:24" x14ac:dyDescent="0.3">
      <c r="X146" s="78"/>
    </row>
    <row r="147" spans="24:24" x14ac:dyDescent="0.3">
      <c r="X147" s="78"/>
    </row>
    <row r="148" spans="24:24" x14ac:dyDescent="0.3">
      <c r="X148" s="78"/>
    </row>
    <row r="149" spans="24:24" x14ac:dyDescent="0.3">
      <c r="X149" s="78"/>
    </row>
    <row r="150" spans="24:24" x14ac:dyDescent="0.3">
      <c r="X150" s="78"/>
    </row>
    <row r="151" spans="24:24" x14ac:dyDescent="0.3">
      <c r="X151" s="78"/>
    </row>
    <row r="152" spans="24:24" x14ac:dyDescent="0.3">
      <c r="X152" s="78"/>
    </row>
    <row r="153" spans="24:24" x14ac:dyDescent="0.3">
      <c r="X153" s="78"/>
    </row>
    <row r="154" spans="24:24" x14ac:dyDescent="0.3">
      <c r="X154" s="78"/>
    </row>
    <row r="155" spans="24:24" x14ac:dyDescent="0.3">
      <c r="X155" s="78"/>
    </row>
    <row r="156" spans="24:24" x14ac:dyDescent="0.3">
      <c r="X156" s="78"/>
    </row>
    <row r="157" spans="24:24" x14ac:dyDescent="0.3">
      <c r="X157" s="78"/>
    </row>
    <row r="158" spans="24:24" x14ac:dyDescent="0.3">
      <c r="X158" s="78"/>
    </row>
    <row r="159" spans="24:24" x14ac:dyDescent="0.3">
      <c r="X159" s="78"/>
    </row>
    <row r="160" spans="24:24" x14ac:dyDescent="0.3">
      <c r="X160" s="78"/>
    </row>
    <row r="161" spans="24:24" x14ac:dyDescent="0.3">
      <c r="X161" s="78"/>
    </row>
    <row r="162" spans="24:24" x14ac:dyDescent="0.3">
      <c r="X162" s="78"/>
    </row>
    <row r="163" spans="24:24" x14ac:dyDescent="0.3">
      <c r="X163" s="78"/>
    </row>
    <row r="164" spans="24:24" x14ac:dyDescent="0.3">
      <c r="X164" s="78"/>
    </row>
    <row r="165" spans="24:24" x14ac:dyDescent="0.3">
      <c r="X165" s="78"/>
    </row>
    <row r="166" spans="24:24" x14ac:dyDescent="0.3">
      <c r="X166" s="78"/>
    </row>
    <row r="167" spans="24:24" x14ac:dyDescent="0.3">
      <c r="X167" s="78"/>
    </row>
    <row r="168" spans="24:24" x14ac:dyDescent="0.3">
      <c r="X168" s="78"/>
    </row>
    <row r="169" spans="24:24" x14ac:dyDescent="0.3">
      <c r="X169" s="78"/>
    </row>
    <row r="170" spans="24:24" x14ac:dyDescent="0.3">
      <c r="X170" s="78"/>
    </row>
    <row r="171" spans="24:24" x14ac:dyDescent="0.3">
      <c r="X171" s="78"/>
    </row>
    <row r="172" spans="24:24" x14ac:dyDescent="0.3">
      <c r="X172" s="78"/>
    </row>
    <row r="173" spans="24:24" x14ac:dyDescent="0.3">
      <c r="X173" s="78"/>
    </row>
    <row r="174" spans="24:24" x14ac:dyDescent="0.3">
      <c r="X174" s="78"/>
    </row>
    <row r="175" spans="24:24" x14ac:dyDescent="0.3">
      <c r="X175" s="78"/>
    </row>
    <row r="176" spans="24:24" x14ac:dyDescent="0.3">
      <c r="X176" s="78"/>
    </row>
    <row r="177" spans="24:24" x14ac:dyDescent="0.3">
      <c r="X177" s="78"/>
    </row>
    <row r="178" spans="24:24" x14ac:dyDescent="0.3">
      <c r="X178" s="78"/>
    </row>
    <row r="179" spans="24:24" x14ac:dyDescent="0.3">
      <c r="X179" s="78"/>
    </row>
    <row r="180" spans="24:24" x14ac:dyDescent="0.3">
      <c r="X180" s="78"/>
    </row>
    <row r="181" spans="24:24" x14ac:dyDescent="0.3">
      <c r="X181" s="78"/>
    </row>
    <row r="182" spans="24:24" x14ac:dyDescent="0.3">
      <c r="X182" s="78"/>
    </row>
    <row r="183" spans="24:24" x14ac:dyDescent="0.3">
      <c r="X183" s="78"/>
    </row>
    <row r="184" spans="24:24" x14ac:dyDescent="0.3">
      <c r="X184" s="78"/>
    </row>
    <row r="185" spans="24:24" x14ac:dyDescent="0.3">
      <c r="X185" s="78"/>
    </row>
    <row r="186" spans="24:24" x14ac:dyDescent="0.3">
      <c r="X186" s="78"/>
    </row>
    <row r="187" spans="24:24" x14ac:dyDescent="0.3">
      <c r="X187" s="78"/>
    </row>
    <row r="188" spans="24:24" x14ac:dyDescent="0.3">
      <c r="X188" s="78"/>
    </row>
    <row r="189" spans="24:24" x14ac:dyDescent="0.3">
      <c r="X189" s="78"/>
    </row>
    <row r="190" spans="24:24" x14ac:dyDescent="0.3">
      <c r="X190" s="78"/>
    </row>
    <row r="191" spans="24:24" x14ac:dyDescent="0.3">
      <c r="X191" s="78"/>
    </row>
    <row r="192" spans="24:24" x14ac:dyDescent="0.3">
      <c r="X192" s="78"/>
    </row>
    <row r="193" spans="24:24" x14ac:dyDescent="0.3">
      <c r="X193" s="78"/>
    </row>
    <row r="194" spans="24:24" x14ac:dyDescent="0.3">
      <c r="X194" s="78"/>
    </row>
    <row r="195" spans="24:24" x14ac:dyDescent="0.3">
      <c r="X195" s="78"/>
    </row>
    <row r="196" spans="24:24" x14ac:dyDescent="0.3">
      <c r="X196" s="78"/>
    </row>
    <row r="197" spans="24:24" x14ac:dyDescent="0.3">
      <c r="X197" s="78"/>
    </row>
    <row r="198" spans="24:24" x14ac:dyDescent="0.3">
      <c r="X198" s="78"/>
    </row>
    <row r="199" spans="24:24" x14ac:dyDescent="0.3">
      <c r="X199" s="78"/>
    </row>
    <row r="200" spans="24:24" x14ac:dyDescent="0.3">
      <c r="X200" s="78"/>
    </row>
    <row r="201" spans="24:24" x14ac:dyDescent="0.3">
      <c r="X201" s="78"/>
    </row>
    <row r="202" spans="24:24" x14ac:dyDescent="0.3">
      <c r="X202" s="78"/>
    </row>
    <row r="203" spans="24:24" x14ac:dyDescent="0.3">
      <c r="X203" s="78"/>
    </row>
    <row r="204" spans="24:24" x14ac:dyDescent="0.3">
      <c r="X204" s="78"/>
    </row>
    <row r="205" spans="24:24" x14ac:dyDescent="0.3">
      <c r="X205" s="78"/>
    </row>
    <row r="206" spans="24:24" x14ac:dyDescent="0.3">
      <c r="X206" s="78"/>
    </row>
    <row r="207" spans="24:24" x14ac:dyDescent="0.3">
      <c r="X207" s="78"/>
    </row>
    <row r="208" spans="24:24" x14ac:dyDescent="0.3">
      <c r="X208" s="78"/>
    </row>
    <row r="209" spans="24:24" x14ac:dyDescent="0.3">
      <c r="X209" s="78"/>
    </row>
    <row r="210" spans="24:24" x14ac:dyDescent="0.3">
      <c r="X210" s="78"/>
    </row>
    <row r="211" spans="24:24" x14ac:dyDescent="0.3">
      <c r="X211" s="78"/>
    </row>
    <row r="212" spans="24:24" x14ac:dyDescent="0.3">
      <c r="X212" s="78"/>
    </row>
    <row r="213" spans="24:24" x14ac:dyDescent="0.3">
      <c r="X213" s="78"/>
    </row>
    <row r="214" spans="24:24" x14ac:dyDescent="0.3">
      <c r="X214" s="78"/>
    </row>
    <row r="215" spans="24:24" x14ac:dyDescent="0.3">
      <c r="X215" s="78"/>
    </row>
    <row r="216" spans="24:24" x14ac:dyDescent="0.3">
      <c r="X216" s="78"/>
    </row>
    <row r="217" spans="24:24" x14ac:dyDescent="0.3">
      <c r="X217" s="78"/>
    </row>
    <row r="218" spans="24:24" x14ac:dyDescent="0.3">
      <c r="X218" s="78"/>
    </row>
    <row r="219" spans="24:24" x14ac:dyDescent="0.3">
      <c r="X219" s="78"/>
    </row>
    <row r="220" spans="24:24" x14ac:dyDescent="0.3">
      <c r="X220" s="78"/>
    </row>
    <row r="221" spans="24:24" x14ac:dyDescent="0.3">
      <c r="X221" s="78"/>
    </row>
    <row r="222" spans="24:24" x14ac:dyDescent="0.3">
      <c r="X222" s="78"/>
    </row>
    <row r="223" spans="24:24" x14ac:dyDescent="0.3">
      <c r="X223" s="78"/>
    </row>
    <row r="224" spans="24:24" x14ac:dyDescent="0.3">
      <c r="X224" s="78"/>
    </row>
    <row r="225" spans="24:24" x14ac:dyDescent="0.3">
      <c r="X225" s="78"/>
    </row>
    <row r="226" spans="24:24" x14ac:dyDescent="0.3">
      <c r="X226" s="78"/>
    </row>
    <row r="227" spans="24:24" x14ac:dyDescent="0.3">
      <c r="X227" s="78"/>
    </row>
    <row r="228" spans="24:24" x14ac:dyDescent="0.3">
      <c r="X228" s="78"/>
    </row>
    <row r="229" spans="24:24" x14ac:dyDescent="0.3">
      <c r="X229" s="78"/>
    </row>
    <row r="230" spans="24:24" x14ac:dyDescent="0.3">
      <c r="X230" s="78"/>
    </row>
    <row r="231" spans="24:24" x14ac:dyDescent="0.3">
      <c r="X231" s="78"/>
    </row>
    <row r="232" spans="24:24" x14ac:dyDescent="0.3">
      <c r="X232" s="78"/>
    </row>
    <row r="233" spans="24:24" x14ac:dyDescent="0.3">
      <c r="X233" s="78"/>
    </row>
    <row r="234" spans="24:24" x14ac:dyDescent="0.3">
      <c r="X234" s="78"/>
    </row>
    <row r="235" spans="24:24" x14ac:dyDescent="0.3">
      <c r="X235" s="78"/>
    </row>
    <row r="236" spans="24:24" x14ac:dyDescent="0.3">
      <c r="X236" s="78"/>
    </row>
    <row r="237" spans="24:24" x14ac:dyDescent="0.3">
      <c r="X237" s="78"/>
    </row>
    <row r="238" spans="24:24" x14ac:dyDescent="0.3">
      <c r="X238" s="78"/>
    </row>
    <row r="239" spans="24:24" x14ac:dyDescent="0.3">
      <c r="X239" s="78"/>
    </row>
    <row r="240" spans="24:24" x14ac:dyDescent="0.3">
      <c r="X240" s="78"/>
    </row>
    <row r="241" spans="24:24" x14ac:dyDescent="0.3">
      <c r="X241" s="78"/>
    </row>
    <row r="242" spans="24:24" x14ac:dyDescent="0.3">
      <c r="X242" s="78"/>
    </row>
    <row r="243" spans="24:24" x14ac:dyDescent="0.3">
      <c r="X243" s="78"/>
    </row>
    <row r="244" spans="24:24" x14ac:dyDescent="0.3">
      <c r="X244" s="78"/>
    </row>
    <row r="245" spans="24:24" x14ac:dyDescent="0.3">
      <c r="X245" s="78"/>
    </row>
    <row r="246" spans="24:24" x14ac:dyDescent="0.3">
      <c r="X246" s="78"/>
    </row>
    <row r="247" spans="24:24" x14ac:dyDescent="0.3">
      <c r="X247" s="78"/>
    </row>
    <row r="248" spans="24:24" x14ac:dyDescent="0.3">
      <c r="X248" s="78"/>
    </row>
    <row r="249" spans="24:24" x14ac:dyDescent="0.3">
      <c r="X249" s="78"/>
    </row>
    <row r="250" spans="24:24" x14ac:dyDescent="0.3">
      <c r="X250" s="78"/>
    </row>
    <row r="251" spans="24:24" x14ac:dyDescent="0.3">
      <c r="X251" s="78"/>
    </row>
    <row r="252" spans="24:24" x14ac:dyDescent="0.3">
      <c r="X252" s="78"/>
    </row>
    <row r="253" spans="24:24" x14ac:dyDescent="0.3">
      <c r="X253" s="78"/>
    </row>
    <row r="254" spans="24:24" x14ac:dyDescent="0.3">
      <c r="X254" s="78"/>
    </row>
    <row r="255" spans="24:24" x14ac:dyDescent="0.3">
      <c r="X255" s="78"/>
    </row>
    <row r="256" spans="24:24" x14ac:dyDescent="0.3">
      <c r="X256" s="78"/>
    </row>
    <row r="257" spans="24:24" x14ac:dyDescent="0.3">
      <c r="X257" s="78"/>
    </row>
    <row r="258" spans="24:24" x14ac:dyDescent="0.3">
      <c r="X258" s="78"/>
    </row>
    <row r="259" spans="24:24" x14ac:dyDescent="0.3">
      <c r="X259" s="78"/>
    </row>
    <row r="260" spans="24:24" x14ac:dyDescent="0.3">
      <c r="X260" s="78"/>
    </row>
    <row r="261" spans="24:24" x14ac:dyDescent="0.3">
      <c r="X261" s="78"/>
    </row>
    <row r="262" spans="24:24" x14ac:dyDescent="0.3">
      <c r="X262" s="78"/>
    </row>
    <row r="263" spans="24:24" x14ac:dyDescent="0.3">
      <c r="X263" s="78"/>
    </row>
    <row r="264" spans="24:24" x14ac:dyDescent="0.3">
      <c r="X264" s="78"/>
    </row>
    <row r="265" spans="24:24" x14ac:dyDescent="0.3">
      <c r="X265" s="78"/>
    </row>
    <row r="266" spans="24:24" x14ac:dyDescent="0.3">
      <c r="X266" s="78"/>
    </row>
    <row r="267" spans="24:24" x14ac:dyDescent="0.3">
      <c r="X267" s="78"/>
    </row>
    <row r="268" spans="24:24" x14ac:dyDescent="0.3">
      <c r="X268" s="78"/>
    </row>
    <row r="269" spans="24:24" x14ac:dyDescent="0.3">
      <c r="X269" s="78"/>
    </row>
    <row r="270" spans="24:24" x14ac:dyDescent="0.3">
      <c r="X270" s="78"/>
    </row>
    <row r="271" spans="24:24" x14ac:dyDescent="0.3">
      <c r="X271" s="78"/>
    </row>
    <row r="272" spans="24:24" x14ac:dyDescent="0.3">
      <c r="X272" s="78"/>
    </row>
    <row r="273" spans="24:24" x14ac:dyDescent="0.3">
      <c r="X273" s="78"/>
    </row>
    <row r="274" spans="24:24" x14ac:dyDescent="0.3">
      <c r="X274" s="78"/>
    </row>
    <row r="275" spans="24:24" x14ac:dyDescent="0.3">
      <c r="X275" s="78"/>
    </row>
    <row r="276" spans="24:24" x14ac:dyDescent="0.3">
      <c r="X276" s="78"/>
    </row>
    <row r="277" spans="24:24" x14ac:dyDescent="0.3">
      <c r="X277" s="78"/>
    </row>
    <row r="278" spans="24:24" x14ac:dyDescent="0.3">
      <c r="X278" s="78"/>
    </row>
    <row r="279" spans="24:24" x14ac:dyDescent="0.3">
      <c r="X279" s="78"/>
    </row>
    <row r="280" spans="24:24" x14ac:dyDescent="0.3">
      <c r="X280" s="78"/>
    </row>
    <row r="281" spans="24:24" x14ac:dyDescent="0.3">
      <c r="X281" s="78"/>
    </row>
    <row r="282" spans="24:24" x14ac:dyDescent="0.3">
      <c r="X282" s="78"/>
    </row>
    <row r="283" spans="24:24" x14ac:dyDescent="0.3">
      <c r="X283" s="78"/>
    </row>
    <row r="284" spans="24:24" x14ac:dyDescent="0.3">
      <c r="X284" s="78"/>
    </row>
    <row r="285" spans="24:24" x14ac:dyDescent="0.3">
      <c r="X285" s="78"/>
    </row>
    <row r="286" spans="24:24" x14ac:dyDescent="0.3">
      <c r="X286" s="78"/>
    </row>
    <row r="287" spans="24:24" x14ac:dyDescent="0.3">
      <c r="X287" s="78"/>
    </row>
    <row r="288" spans="24:24" x14ac:dyDescent="0.3">
      <c r="X288" s="78"/>
    </row>
    <row r="289" spans="24:24" x14ac:dyDescent="0.3">
      <c r="X289" s="78"/>
    </row>
    <row r="290" spans="24:24" x14ac:dyDescent="0.3">
      <c r="X290" s="78"/>
    </row>
    <row r="291" spans="24:24" x14ac:dyDescent="0.3">
      <c r="X291" s="78"/>
    </row>
    <row r="292" spans="24:24" x14ac:dyDescent="0.3">
      <c r="X292" s="78"/>
    </row>
    <row r="293" spans="24:24" x14ac:dyDescent="0.3">
      <c r="X293" s="78"/>
    </row>
    <row r="294" spans="24:24" x14ac:dyDescent="0.3">
      <c r="X294" s="78"/>
    </row>
    <row r="295" spans="24:24" x14ac:dyDescent="0.3">
      <c r="X295" s="78"/>
    </row>
    <row r="296" spans="24:24" x14ac:dyDescent="0.3">
      <c r="X296" s="78"/>
    </row>
    <row r="297" spans="24:24" x14ac:dyDescent="0.3">
      <c r="X297" s="78"/>
    </row>
    <row r="298" spans="24:24" x14ac:dyDescent="0.3">
      <c r="X298" s="78"/>
    </row>
    <row r="299" spans="24:24" x14ac:dyDescent="0.3">
      <c r="X299" s="78"/>
    </row>
    <row r="300" spans="24:24" x14ac:dyDescent="0.3">
      <c r="X300" s="78"/>
    </row>
    <row r="301" spans="24:24" x14ac:dyDescent="0.3">
      <c r="X301" s="78"/>
    </row>
    <row r="302" spans="24:24" x14ac:dyDescent="0.3">
      <c r="X302" s="78"/>
    </row>
    <row r="303" spans="24:24" x14ac:dyDescent="0.3">
      <c r="X303" s="78"/>
    </row>
    <row r="304" spans="24:24" x14ac:dyDescent="0.3">
      <c r="X304" s="78"/>
    </row>
    <row r="305" spans="24:24" x14ac:dyDescent="0.3">
      <c r="X305" s="78"/>
    </row>
    <row r="306" spans="24:24" x14ac:dyDescent="0.3">
      <c r="X306" s="78"/>
    </row>
    <row r="307" spans="24:24" x14ac:dyDescent="0.3">
      <c r="X307" s="78"/>
    </row>
    <row r="308" spans="24:24" x14ac:dyDescent="0.3">
      <c r="X308" s="78"/>
    </row>
    <row r="309" spans="24:24" x14ac:dyDescent="0.3">
      <c r="X309" s="78"/>
    </row>
    <row r="310" spans="24:24" x14ac:dyDescent="0.3">
      <c r="X310" s="78"/>
    </row>
    <row r="311" spans="24:24" x14ac:dyDescent="0.3">
      <c r="X311" s="78"/>
    </row>
    <row r="312" spans="24:24" x14ac:dyDescent="0.3">
      <c r="X312" s="78"/>
    </row>
    <row r="313" spans="24:24" x14ac:dyDescent="0.3">
      <c r="X313" s="78"/>
    </row>
    <row r="314" spans="24:24" x14ac:dyDescent="0.3">
      <c r="X314" s="78"/>
    </row>
    <row r="315" spans="24:24" x14ac:dyDescent="0.3">
      <c r="X315" s="78"/>
    </row>
    <row r="316" spans="24:24" x14ac:dyDescent="0.3">
      <c r="X316" s="78"/>
    </row>
    <row r="317" spans="24:24" x14ac:dyDescent="0.3">
      <c r="X317" s="78"/>
    </row>
    <row r="318" spans="24:24" x14ac:dyDescent="0.3">
      <c r="X318" s="78"/>
    </row>
    <row r="319" spans="24:24" x14ac:dyDescent="0.3">
      <c r="X319" s="78"/>
    </row>
    <row r="320" spans="24:24" x14ac:dyDescent="0.3">
      <c r="X320" s="78"/>
    </row>
    <row r="321" spans="24:24" x14ac:dyDescent="0.3">
      <c r="X321" s="78"/>
    </row>
    <row r="322" spans="24:24" x14ac:dyDescent="0.3">
      <c r="X322" s="78"/>
    </row>
    <row r="323" spans="24:24" x14ac:dyDescent="0.3">
      <c r="X323" s="78"/>
    </row>
    <row r="324" spans="24:24" x14ac:dyDescent="0.3">
      <c r="X324" s="78"/>
    </row>
    <row r="325" spans="24:24" x14ac:dyDescent="0.3">
      <c r="X325" s="78"/>
    </row>
    <row r="326" spans="24:24" x14ac:dyDescent="0.3">
      <c r="X326" s="78"/>
    </row>
    <row r="327" spans="24:24" x14ac:dyDescent="0.3">
      <c r="X327" s="78"/>
    </row>
    <row r="328" spans="24:24" x14ac:dyDescent="0.3">
      <c r="X328" s="78"/>
    </row>
    <row r="329" spans="24:24" x14ac:dyDescent="0.3">
      <c r="X329" s="78"/>
    </row>
    <row r="330" spans="24:24" x14ac:dyDescent="0.3">
      <c r="X330" s="78"/>
    </row>
    <row r="331" spans="24:24" x14ac:dyDescent="0.3">
      <c r="X331" s="78"/>
    </row>
    <row r="332" spans="24:24" x14ac:dyDescent="0.3">
      <c r="X332" s="78"/>
    </row>
    <row r="333" spans="24:24" x14ac:dyDescent="0.3">
      <c r="X333" s="78"/>
    </row>
    <row r="334" spans="24:24" x14ac:dyDescent="0.3">
      <c r="X334" s="78"/>
    </row>
    <row r="335" spans="24:24" x14ac:dyDescent="0.3">
      <c r="X335" s="78"/>
    </row>
    <row r="336" spans="24:24" x14ac:dyDescent="0.3">
      <c r="X336" s="78"/>
    </row>
    <row r="337" spans="24:24" x14ac:dyDescent="0.3">
      <c r="X337" s="78"/>
    </row>
    <row r="338" spans="24:24" x14ac:dyDescent="0.3">
      <c r="X338" s="78"/>
    </row>
    <row r="339" spans="24:24" x14ac:dyDescent="0.3">
      <c r="X339" s="78"/>
    </row>
    <row r="340" spans="24:24" x14ac:dyDescent="0.3">
      <c r="X340" s="78"/>
    </row>
    <row r="341" spans="24:24" x14ac:dyDescent="0.3">
      <c r="X341" s="78"/>
    </row>
    <row r="342" spans="24:24" x14ac:dyDescent="0.3">
      <c r="X342" s="78"/>
    </row>
    <row r="343" spans="24:24" x14ac:dyDescent="0.3">
      <c r="X343" s="78"/>
    </row>
    <row r="344" spans="24:24" x14ac:dyDescent="0.3">
      <c r="X344" s="78"/>
    </row>
    <row r="345" spans="24:24" x14ac:dyDescent="0.3">
      <c r="X345" s="78"/>
    </row>
    <row r="346" spans="24:24" x14ac:dyDescent="0.3">
      <c r="X346" s="78"/>
    </row>
    <row r="347" spans="24:24" x14ac:dyDescent="0.3">
      <c r="X347" s="78"/>
    </row>
    <row r="348" spans="24:24" x14ac:dyDescent="0.3">
      <c r="X348" s="78"/>
    </row>
    <row r="349" spans="24:24" x14ac:dyDescent="0.3">
      <c r="X349" s="78"/>
    </row>
    <row r="350" spans="24:24" x14ac:dyDescent="0.3">
      <c r="X350" s="78"/>
    </row>
    <row r="351" spans="24:24" x14ac:dyDescent="0.3">
      <c r="X351" s="78"/>
    </row>
    <row r="352" spans="24:24" x14ac:dyDescent="0.3">
      <c r="X352" s="78"/>
    </row>
    <row r="353" spans="24:24" x14ac:dyDescent="0.3">
      <c r="X353" s="78"/>
    </row>
    <row r="354" spans="24:24" x14ac:dyDescent="0.3">
      <c r="X354" s="78"/>
    </row>
    <row r="355" spans="24:24" x14ac:dyDescent="0.3">
      <c r="X355" s="78"/>
    </row>
    <row r="356" spans="24:24" x14ac:dyDescent="0.3">
      <c r="X356" s="78"/>
    </row>
    <row r="357" spans="24:24" x14ac:dyDescent="0.3">
      <c r="X357" s="78"/>
    </row>
    <row r="358" spans="24:24" x14ac:dyDescent="0.3">
      <c r="X358" s="78"/>
    </row>
    <row r="359" spans="24:24" x14ac:dyDescent="0.3">
      <c r="X359" s="78"/>
    </row>
    <row r="360" spans="24:24" x14ac:dyDescent="0.3">
      <c r="X360" s="78"/>
    </row>
    <row r="361" spans="24:24" x14ac:dyDescent="0.3">
      <c r="X361" s="78"/>
    </row>
    <row r="362" spans="24:24" x14ac:dyDescent="0.3">
      <c r="X362" s="78"/>
    </row>
    <row r="363" spans="24:24" x14ac:dyDescent="0.3">
      <c r="X363" s="78"/>
    </row>
    <row r="364" spans="24:24" x14ac:dyDescent="0.3">
      <c r="X364" s="78"/>
    </row>
    <row r="365" spans="24:24" x14ac:dyDescent="0.3">
      <c r="X365" s="78"/>
    </row>
    <row r="366" spans="24:24" x14ac:dyDescent="0.3">
      <c r="X366" s="78"/>
    </row>
    <row r="367" spans="24:24" x14ac:dyDescent="0.3">
      <c r="X367" s="78"/>
    </row>
    <row r="368" spans="24:24" x14ac:dyDescent="0.3">
      <c r="X368" s="78"/>
    </row>
    <row r="369" spans="24:24" x14ac:dyDescent="0.3">
      <c r="X369" s="78"/>
    </row>
    <row r="370" spans="24:24" x14ac:dyDescent="0.3">
      <c r="X370" s="78"/>
    </row>
    <row r="371" spans="24:24" x14ac:dyDescent="0.3">
      <c r="X371" s="78"/>
    </row>
    <row r="372" spans="24:24" x14ac:dyDescent="0.3">
      <c r="X372" s="78"/>
    </row>
    <row r="373" spans="24:24" x14ac:dyDescent="0.3">
      <c r="X373" s="78"/>
    </row>
    <row r="374" spans="24:24" x14ac:dyDescent="0.3">
      <c r="X374" s="78"/>
    </row>
    <row r="375" spans="24:24" x14ac:dyDescent="0.3">
      <c r="X375" s="78"/>
    </row>
    <row r="376" spans="24:24" x14ac:dyDescent="0.3">
      <c r="X376" s="78"/>
    </row>
    <row r="377" spans="24:24" x14ac:dyDescent="0.3">
      <c r="X377" s="78"/>
    </row>
    <row r="378" spans="24:24" x14ac:dyDescent="0.3">
      <c r="X378" s="78"/>
    </row>
    <row r="379" spans="24:24" x14ac:dyDescent="0.3">
      <c r="X379" s="78"/>
    </row>
    <row r="380" spans="24:24" x14ac:dyDescent="0.3">
      <c r="X380" s="78"/>
    </row>
    <row r="381" spans="24:24" x14ac:dyDescent="0.3">
      <c r="X381" s="78"/>
    </row>
    <row r="382" spans="24:24" x14ac:dyDescent="0.3">
      <c r="X382" s="78"/>
    </row>
    <row r="383" spans="24:24" x14ac:dyDescent="0.3">
      <c r="X383" s="78"/>
    </row>
    <row r="384" spans="24:24" x14ac:dyDescent="0.3">
      <c r="X384" s="78"/>
    </row>
    <row r="385" spans="24:24" x14ac:dyDescent="0.3">
      <c r="X385" s="78"/>
    </row>
    <row r="386" spans="24:24" x14ac:dyDescent="0.3">
      <c r="X386" s="78"/>
    </row>
    <row r="387" spans="24:24" x14ac:dyDescent="0.3">
      <c r="X387" s="78"/>
    </row>
    <row r="388" spans="24:24" x14ac:dyDescent="0.3">
      <c r="X388" s="78"/>
    </row>
    <row r="389" spans="24:24" x14ac:dyDescent="0.3">
      <c r="X389" s="78"/>
    </row>
    <row r="390" spans="24:24" x14ac:dyDescent="0.3">
      <c r="X390" s="78"/>
    </row>
    <row r="391" spans="24:24" x14ac:dyDescent="0.3">
      <c r="X391" s="78"/>
    </row>
    <row r="392" spans="24:24" x14ac:dyDescent="0.3">
      <c r="X392" s="78"/>
    </row>
    <row r="393" spans="24:24" x14ac:dyDescent="0.3">
      <c r="X393" s="78"/>
    </row>
    <row r="394" spans="24:24" x14ac:dyDescent="0.3">
      <c r="X394" s="78"/>
    </row>
    <row r="395" spans="24:24" x14ac:dyDescent="0.3">
      <c r="X395" s="78"/>
    </row>
    <row r="396" spans="24:24" x14ac:dyDescent="0.3">
      <c r="X396" s="78"/>
    </row>
    <row r="397" spans="24:24" x14ac:dyDescent="0.3">
      <c r="X397" s="78"/>
    </row>
    <row r="398" spans="24:24" x14ac:dyDescent="0.3">
      <c r="X398" s="78"/>
    </row>
    <row r="399" spans="24:24" x14ac:dyDescent="0.3">
      <c r="X399" s="78"/>
    </row>
    <row r="400" spans="24:24" x14ac:dyDescent="0.3">
      <c r="X400" s="78"/>
    </row>
    <row r="401" spans="24:24" x14ac:dyDescent="0.3">
      <c r="X401" s="78"/>
    </row>
    <row r="402" spans="24:24" x14ac:dyDescent="0.3">
      <c r="X402" s="78"/>
    </row>
    <row r="403" spans="24:24" x14ac:dyDescent="0.3">
      <c r="X403" s="78"/>
    </row>
    <row r="404" spans="24:24" x14ac:dyDescent="0.3">
      <c r="X404" s="78"/>
    </row>
    <row r="405" spans="24:24" x14ac:dyDescent="0.3">
      <c r="X405" s="78"/>
    </row>
    <row r="406" spans="24:24" x14ac:dyDescent="0.3">
      <c r="X406" s="78"/>
    </row>
    <row r="407" spans="24:24" x14ac:dyDescent="0.3">
      <c r="X407" s="78"/>
    </row>
    <row r="408" spans="24:24" x14ac:dyDescent="0.3">
      <c r="X408" s="78"/>
    </row>
    <row r="409" spans="24:24" x14ac:dyDescent="0.3">
      <c r="X409" s="78"/>
    </row>
    <row r="410" spans="24:24" x14ac:dyDescent="0.3">
      <c r="X410" s="78"/>
    </row>
    <row r="411" spans="24:24" x14ac:dyDescent="0.3">
      <c r="X411" s="78"/>
    </row>
    <row r="412" spans="24:24" x14ac:dyDescent="0.3">
      <c r="X412" s="78"/>
    </row>
    <row r="413" spans="24:24" x14ac:dyDescent="0.3">
      <c r="X413" s="78"/>
    </row>
    <row r="414" spans="24:24" x14ac:dyDescent="0.3">
      <c r="X414" s="78"/>
    </row>
    <row r="415" spans="24:24" x14ac:dyDescent="0.3">
      <c r="X415" s="78"/>
    </row>
    <row r="416" spans="24:24" x14ac:dyDescent="0.3">
      <c r="X416" s="78"/>
    </row>
    <row r="417" spans="24:24" x14ac:dyDescent="0.3">
      <c r="X417" s="78"/>
    </row>
    <row r="418" spans="24:24" x14ac:dyDescent="0.3">
      <c r="X418" s="78"/>
    </row>
    <row r="419" spans="24:24" x14ac:dyDescent="0.3">
      <c r="X419" s="78"/>
    </row>
    <row r="420" spans="24:24" x14ac:dyDescent="0.3">
      <c r="X420" s="78"/>
    </row>
    <row r="421" spans="24:24" x14ac:dyDescent="0.3">
      <c r="X421" s="78"/>
    </row>
    <row r="422" spans="24:24" x14ac:dyDescent="0.3">
      <c r="X422" s="78"/>
    </row>
    <row r="423" spans="24:24" x14ac:dyDescent="0.3">
      <c r="X423" s="78"/>
    </row>
    <row r="424" spans="24:24" x14ac:dyDescent="0.3">
      <c r="X424" s="78"/>
    </row>
    <row r="425" spans="24:24" x14ac:dyDescent="0.3">
      <c r="X425" s="78"/>
    </row>
    <row r="426" spans="24:24" x14ac:dyDescent="0.3">
      <c r="X426" s="78"/>
    </row>
    <row r="427" spans="24:24" x14ac:dyDescent="0.3">
      <c r="X427" s="78"/>
    </row>
    <row r="428" spans="24:24" x14ac:dyDescent="0.3">
      <c r="X428" s="78"/>
    </row>
    <row r="429" spans="24:24" x14ac:dyDescent="0.3">
      <c r="X429" s="78"/>
    </row>
    <row r="430" spans="24:24" x14ac:dyDescent="0.3">
      <c r="X430" s="78"/>
    </row>
    <row r="431" spans="24:24" x14ac:dyDescent="0.3">
      <c r="X431" s="78"/>
    </row>
    <row r="432" spans="24:24" x14ac:dyDescent="0.3">
      <c r="X432" s="78"/>
    </row>
    <row r="433" spans="24:24" x14ac:dyDescent="0.3">
      <c r="X433" s="78"/>
    </row>
    <row r="434" spans="24:24" x14ac:dyDescent="0.3">
      <c r="X434" s="78"/>
    </row>
    <row r="435" spans="24:24" x14ac:dyDescent="0.3">
      <c r="X435" s="78"/>
    </row>
    <row r="436" spans="24:24" x14ac:dyDescent="0.3">
      <c r="X436" s="78"/>
    </row>
    <row r="437" spans="24:24" x14ac:dyDescent="0.3">
      <c r="X437" s="78"/>
    </row>
    <row r="438" spans="24:24" x14ac:dyDescent="0.3">
      <c r="X438" s="78"/>
    </row>
    <row r="439" spans="24:24" x14ac:dyDescent="0.3">
      <c r="X439" s="78"/>
    </row>
    <row r="440" spans="24:24" x14ac:dyDescent="0.3">
      <c r="X440" s="78"/>
    </row>
    <row r="441" spans="24:24" x14ac:dyDescent="0.3">
      <c r="X441" s="78"/>
    </row>
    <row r="442" spans="24:24" x14ac:dyDescent="0.3">
      <c r="X442" s="78"/>
    </row>
    <row r="443" spans="24:24" x14ac:dyDescent="0.3">
      <c r="X443" s="78"/>
    </row>
    <row r="444" spans="24:24" x14ac:dyDescent="0.3">
      <c r="X444" s="78"/>
    </row>
    <row r="445" spans="24:24" x14ac:dyDescent="0.3">
      <c r="X445" s="78"/>
    </row>
    <row r="446" spans="24:24" x14ac:dyDescent="0.3">
      <c r="X446" s="78"/>
    </row>
    <row r="447" spans="24:24" x14ac:dyDescent="0.3">
      <c r="X447" s="78"/>
    </row>
    <row r="448" spans="24:24" x14ac:dyDescent="0.3">
      <c r="X448" s="78"/>
    </row>
    <row r="449" spans="24:24" x14ac:dyDescent="0.3">
      <c r="X449" s="78"/>
    </row>
    <row r="450" spans="24:24" x14ac:dyDescent="0.3">
      <c r="X450" s="78"/>
    </row>
    <row r="451" spans="24:24" x14ac:dyDescent="0.3">
      <c r="X451" s="78"/>
    </row>
    <row r="452" spans="24:24" x14ac:dyDescent="0.3">
      <c r="X452" s="78"/>
    </row>
    <row r="453" spans="24:24" x14ac:dyDescent="0.3">
      <c r="X453" s="78"/>
    </row>
    <row r="454" spans="24:24" x14ac:dyDescent="0.3">
      <c r="X454" s="78"/>
    </row>
    <row r="455" spans="24:24" x14ac:dyDescent="0.3">
      <c r="X455" s="78"/>
    </row>
    <row r="456" spans="24:24" x14ac:dyDescent="0.3">
      <c r="X456" s="78"/>
    </row>
    <row r="457" spans="24:24" x14ac:dyDescent="0.3">
      <c r="X457" s="78"/>
    </row>
    <row r="458" spans="24:24" x14ac:dyDescent="0.3">
      <c r="X458" s="78"/>
    </row>
    <row r="459" spans="24:24" x14ac:dyDescent="0.3">
      <c r="X459" s="78"/>
    </row>
    <row r="460" spans="24:24" x14ac:dyDescent="0.3">
      <c r="X460" s="78"/>
    </row>
    <row r="461" spans="24:24" x14ac:dyDescent="0.3">
      <c r="X461" s="78"/>
    </row>
    <row r="462" spans="24:24" x14ac:dyDescent="0.3">
      <c r="X462" s="78"/>
    </row>
    <row r="463" spans="24:24" x14ac:dyDescent="0.3">
      <c r="X463" s="78"/>
    </row>
    <row r="464" spans="24:24" x14ac:dyDescent="0.3">
      <c r="X464" s="78"/>
    </row>
    <row r="465" spans="24:24" x14ac:dyDescent="0.3">
      <c r="X465" s="78"/>
    </row>
    <row r="466" spans="24:24" x14ac:dyDescent="0.3">
      <c r="X466" s="78"/>
    </row>
    <row r="467" spans="24:24" x14ac:dyDescent="0.3">
      <c r="X467" s="78"/>
    </row>
    <row r="468" spans="24:24" x14ac:dyDescent="0.3">
      <c r="X468" s="78"/>
    </row>
    <row r="469" spans="24:24" x14ac:dyDescent="0.3">
      <c r="X469" s="78"/>
    </row>
    <row r="470" spans="24:24" x14ac:dyDescent="0.3">
      <c r="X470" s="78"/>
    </row>
    <row r="471" spans="24:24" x14ac:dyDescent="0.3">
      <c r="X471" s="78"/>
    </row>
    <row r="472" spans="24:24" x14ac:dyDescent="0.3">
      <c r="X472" s="78"/>
    </row>
    <row r="473" spans="24:24" x14ac:dyDescent="0.3">
      <c r="X473" s="78"/>
    </row>
    <row r="474" spans="24:24" x14ac:dyDescent="0.3">
      <c r="X474" s="78"/>
    </row>
    <row r="475" spans="24:24" x14ac:dyDescent="0.3">
      <c r="X475" s="78"/>
    </row>
    <row r="476" spans="24:24" x14ac:dyDescent="0.3">
      <c r="X476" s="78"/>
    </row>
    <row r="477" spans="24:24" x14ac:dyDescent="0.3">
      <c r="X477" s="78"/>
    </row>
    <row r="478" spans="24:24" x14ac:dyDescent="0.3">
      <c r="X478" s="78"/>
    </row>
    <row r="479" spans="24:24" x14ac:dyDescent="0.3">
      <c r="X479" s="78"/>
    </row>
    <row r="480" spans="24:24" x14ac:dyDescent="0.3">
      <c r="X480" s="78"/>
    </row>
    <row r="481" spans="24:24" x14ac:dyDescent="0.3">
      <c r="X481" s="78"/>
    </row>
    <row r="482" spans="24:24" x14ac:dyDescent="0.3">
      <c r="X482" s="78"/>
    </row>
    <row r="483" spans="24:24" x14ac:dyDescent="0.3">
      <c r="X483" s="78"/>
    </row>
    <row r="484" spans="24:24" x14ac:dyDescent="0.3">
      <c r="X484" s="78"/>
    </row>
    <row r="485" spans="24:24" x14ac:dyDescent="0.3">
      <c r="X485" s="78"/>
    </row>
    <row r="486" spans="24:24" x14ac:dyDescent="0.3">
      <c r="X486" s="78"/>
    </row>
    <row r="487" spans="24:24" x14ac:dyDescent="0.3">
      <c r="X487" s="78"/>
    </row>
    <row r="488" spans="24:24" x14ac:dyDescent="0.3">
      <c r="X488" s="78"/>
    </row>
    <row r="489" spans="24:24" x14ac:dyDescent="0.3">
      <c r="X489" s="78"/>
    </row>
    <row r="490" spans="24:24" x14ac:dyDescent="0.3">
      <c r="X490" s="78"/>
    </row>
    <row r="491" spans="24:24" x14ac:dyDescent="0.3">
      <c r="X491" s="78"/>
    </row>
    <row r="492" spans="24:24" x14ac:dyDescent="0.3">
      <c r="X492" s="78"/>
    </row>
    <row r="493" spans="24:24" x14ac:dyDescent="0.3">
      <c r="X493" s="78"/>
    </row>
    <row r="494" spans="24:24" x14ac:dyDescent="0.3">
      <c r="X494" s="78"/>
    </row>
    <row r="495" spans="24:24" x14ac:dyDescent="0.3">
      <c r="X495" s="78"/>
    </row>
    <row r="496" spans="24:24" x14ac:dyDescent="0.3">
      <c r="X496" s="78"/>
    </row>
    <row r="497" spans="24:24" x14ac:dyDescent="0.3">
      <c r="X497" s="78"/>
    </row>
    <row r="498" spans="24:24" x14ac:dyDescent="0.3">
      <c r="X498" s="78"/>
    </row>
    <row r="499" spans="24:24" x14ac:dyDescent="0.3">
      <c r="X499" s="78"/>
    </row>
    <row r="500" spans="24:24" x14ac:dyDescent="0.3">
      <c r="X500" s="78"/>
    </row>
    <row r="501" spans="24:24" x14ac:dyDescent="0.3">
      <c r="X501" s="78"/>
    </row>
    <row r="502" spans="24:24" x14ac:dyDescent="0.3">
      <c r="X502" s="78"/>
    </row>
    <row r="503" spans="24:24" x14ac:dyDescent="0.3">
      <c r="X503" s="78"/>
    </row>
    <row r="504" spans="24:24" x14ac:dyDescent="0.3">
      <c r="X504" s="78"/>
    </row>
    <row r="505" spans="24:24" x14ac:dyDescent="0.3">
      <c r="X505" s="78"/>
    </row>
    <row r="506" spans="24:24" x14ac:dyDescent="0.3">
      <c r="X506" s="78"/>
    </row>
    <row r="507" spans="24:24" x14ac:dyDescent="0.3">
      <c r="X507" s="78"/>
    </row>
    <row r="508" spans="24:24" x14ac:dyDescent="0.3">
      <c r="X508" s="78"/>
    </row>
    <row r="509" spans="24:24" x14ac:dyDescent="0.3">
      <c r="X509" s="78"/>
    </row>
    <row r="510" spans="24:24" x14ac:dyDescent="0.3">
      <c r="X510" s="78"/>
    </row>
    <row r="511" spans="24:24" x14ac:dyDescent="0.3">
      <c r="X511" s="78"/>
    </row>
    <row r="512" spans="24:24" x14ac:dyDescent="0.3">
      <c r="X512" s="78"/>
    </row>
    <row r="513" spans="24:24" x14ac:dyDescent="0.3">
      <c r="X513" s="78"/>
    </row>
    <row r="514" spans="24:24" x14ac:dyDescent="0.3">
      <c r="X514" s="78"/>
    </row>
    <row r="515" spans="24:24" x14ac:dyDescent="0.3">
      <c r="X515" s="78"/>
    </row>
    <row r="516" spans="24:24" x14ac:dyDescent="0.3">
      <c r="X516" s="78"/>
    </row>
    <row r="517" spans="24:24" x14ac:dyDescent="0.3">
      <c r="X517" s="78"/>
    </row>
    <row r="518" spans="24:24" x14ac:dyDescent="0.3">
      <c r="X518" s="78"/>
    </row>
    <row r="519" spans="24:24" x14ac:dyDescent="0.3">
      <c r="X519" s="78"/>
    </row>
    <row r="520" spans="24:24" x14ac:dyDescent="0.3">
      <c r="X520" s="78"/>
    </row>
    <row r="521" spans="24:24" x14ac:dyDescent="0.3">
      <c r="X521" s="78"/>
    </row>
    <row r="522" spans="24:24" x14ac:dyDescent="0.3">
      <c r="X522" s="78"/>
    </row>
    <row r="523" spans="24:24" x14ac:dyDescent="0.3">
      <c r="X523" s="78"/>
    </row>
    <row r="524" spans="24:24" x14ac:dyDescent="0.3">
      <c r="X524" s="78"/>
    </row>
    <row r="525" spans="24:24" x14ac:dyDescent="0.3">
      <c r="X525" s="78"/>
    </row>
    <row r="526" spans="24:24" x14ac:dyDescent="0.3">
      <c r="X526" s="78"/>
    </row>
    <row r="527" spans="24:24" x14ac:dyDescent="0.3">
      <c r="X527" s="78"/>
    </row>
    <row r="528" spans="24:24" x14ac:dyDescent="0.3">
      <c r="X528" s="78"/>
    </row>
    <row r="529" spans="24:24" x14ac:dyDescent="0.3">
      <c r="X529" s="78"/>
    </row>
    <row r="530" spans="24:24" x14ac:dyDescent="0.3">
      <c r="X530" s="78"/>
    </row>
    <row r="531" spans="24:24" x14ac:dyDescent="0.3">
      <c r="X531" s="78"/>
    </row>
    <row r="532" spans="24:24" x14ac:dyDescent="0.3">
      <c r="X532" s="78"/>
    </row>
    <row r="533" spans="24:24" x14ac:dyDescent="0.3">
      <c r="X533" s="78"/>
    </row>
    <row r="534" spans="24:24" x14ac:dyDescent="0.3">
      <c r="X534" s="78"/>
    </row>
    <row r="535" spans="24:24" x14ac:dyDescent="0.3">
      <c r="X535" s="78"/>
    </row>
    <row r="536" spans="24:24" x14ac:dyDescent="0.3">
      <c r="X536" s="78"/>
    </row>
    <row r="537" spans="24:24" x14ac:dyDescent="0.3">
      <c r="X537" s="78"/>
    </row>
    <row r="538" spans="24:24" x14ac:dyDescent="0.3">
      <c r="X538" s="78"/>
    </row>
    <row r="539" spans="24:24" x14ac:dyDescent="0.3">
      <c r="X539" s="78"/>
    </row>
    <row r="540" spans="24:24" x14ac:dyDescent="0.3">
      <c r="X540" s="78"/>
    </row>
    <row r="541" spans="24:24" x14ac:dyDescent="0.3">
      <c r="X541" s="78"/>
    </row>
    <row r="542" spans="24:24" x14ac:dyDescent="0.3">
      <c r="X542" s="78"/>
    </row>
    <row r="543" spans="24:24" x14ac:dyDescent="0.3">
      <c r="X543" s="78"/>
    </row>
    <row r="544" spans="24:24" x14ac:dyDescent="0.3">
      <c r="X544" s="78"/>
    </row>
    <row r="545" spans="24:24" x14ac:dyDescent="0.3">
      <c r="X545" s="78"/>
    </row>
    <row r="546" spans="24:24" x14ac:dyDescent="0.3">
      <c r="X546" s="78"/>
    </row>
    <row r="547" spans="24:24" x14ac:dyDescent="0.3">
      <c r="X547" s="78"/>
    </row>
    <row r="548" spans="24:24" x14ac:dyDescent="0.3">
      <c r="X548" s="78"/>
    </row>
    <row r="549" spans="24:24" x14ac:dyDescent="0.3">
      <c r="X549" s="78"/>
    </row>
    <row r="550" spans="24:24" x14ac:dyDescent="0.3">
      <c r="X550" s="78"/>
    </row>
    <row r="551" spans="24:24" x14ac:dyDescent="0.3">
      <c r="X551" s="78"/>
    </row>
    <row r="552" spans="24:24" x14ac:dyDescent="0.3">
      <c r="X552" s="78"/>
    </row>
    <row r="553" spans="24:24" x14ac:dyDescent="0.3">
      <c r="X553" s="78"/>
    </row>
    <row r="554" spans="24:24" x14ac:dyDescent="0.3">
      <c r="X554" s="78"/>
    </row>
    <row r="555" spans="24:24" x14ac:dyDescent="0.3">
      <c r="X555" s="78"/>
    </row>
    <row r="556" spans="24:24" x14ac:dyDescent="0.3">
      <c r="X556" s="78"/>
    </row>
    <row r="557" spans="24:24" x14ac:dyDescent="0.3">
      <c r="X557" s="78"/>
    </row>
    <row r="558" spans="24:24" x14ac:dyDescent="0.3">
      <c r="X558" s="78"/>
    </row>
    <row r="559" spans="24:24" x14ac:dyDescent="0.3">
      <c r="X559" s="78"/>
    </row>
    <row r="560" spans="24:24" x14ac:dyDescent="0.3">
      <c r="X560" s="78"/>
    </row>
    <row r="561" spans="24:24" x14ac:dyDescent="0.3">
      <c r="X561" s="78"/>
    </row>
    <row r="562" spans="24:24" x14ac:dyDescent="0.3">
      <c r="X562" s="78"/>
    </row>
    <row r="563" spans="24:24" x14ac:dyDescent="0.3">
      <c r="X563" s="78"/>
    </row>
    <row r="564" spans="24:24" x14ac:dyDescent="0.3">
      <c r="X564" s="78"/>
    </row>
    <row r="565" spans="24:24" x14ac:dyDescent="0.3">
      <c r="X565" s="78"/>
    </row>
    <row r="566" spans="24:24" x14ac:dyDescent="0.3">
      <c r="X566" s="78"/>
    </row>
    <row r="567" spans="24:24" x14ac:dyDescent="0.3">
      <c r="X567" s="78"/>
    </row>
    <row r="568" spans="24:24" x14ac:dyDescent="0.3">
      <c r="X568" s="78"/>
    </row>
    <row r="569" spans="24:24" x14ac:dyDescent="0.3">
      <c r="X569" s="78"/>
    </row>
    <row r="570" spans="24:24" x14ac:dyDescent="0.3">
      <c r="X570" s="78"/>
    </row>
    <row r="571" spans="24:24" x14ac:dyDescent="0.3">
      <c r="X571" s="78"/>
    </row>
    <row r="572" spans="24:24" x14ac:dyDescent="0.3">
      <c r="X572" s="78"/>
    </row>
    <row r="573" spans="24:24" x14ac:dyDescent="0.3">
      <c r="X573" s="78"/>
    </row>
    <row r="574" spans="24:24" x14ac:dyDescent="0.3">
      <c r="X574" s="78"/>
    </row>
    <row r="575" spans="24:24" x14ac:dyDescent="0.3">
      <c r="X575" s="78"/>
    </row>
    <row r="576" spans="24:24" x14ac:dyDescent="0.3">
      <c r="X576" s="78"/>
    </row>
    <row r="577" spans="24:24" x14ac:dyDescent="0.3">
      <c r="X577" s="78"/>
    </row>
    <row r="578" spans="24:24" x14ac:dyDescent="0.3">
      <c r="X578" s="78"/>
    </row>
    <row r="579" spans="24:24" x14ac:dyDescent="0.3">
      <c r="X579" s="78"/>
    </row>
    <row r="580" spans="24:24" x14ac:dyDescent="0.3">
      <c r="X580" s="78"/>
    </row>
    <row r="581" spans="24:24" x14ac:dyDescent="0.3">
      <c r="X581" s="78"/>
    </row>
    <row r="582" spans="24:24" x14ac:dyDescent="0.3">
      <c r="X582" s="78"/>
    </row>
    <row r="583" spans="24:24" x14ac:dyDescent="0.3">
      <c r="X583" s="78"/>
    </row>
    <row r="584" spans="24:24" x14ac:dyDescent="0.3">
      <c r="X584" s="78"/>
    </row>
    <row r="585" spans="24:24" x14ac:dyDescent="0.3">
      <c r="X585" s="78"/>
    </row>
    <row r="586" spans="24:24" x14ac:dyDescent="0.3">
      <c r="X586" s="78"/>
    </row>
    <row r="587" spans="24:24" x14ac:dyDescent="0.3">
      <c r="X587" s="78"/>
    </row>
    <row r="588" spans="24:24" x14ac:dyDescent="0.3">
      <c r="X588" s="78"/>
    </row>
    <row r="589" spans="24:24" x14ac:dyDescent="0.3">
      <c r="X589" s="78"/>
    </row>
    <row r="590" spans="24:24" x14ac:dyDescent="0.3">
      <c r="X590" s="78"/>
    </row>
    <row r="591" spans="24:24" x14ac:dyDescent="0.3">
      <c r="X591" s="78"/>
    </row>
    <row r="592" spans="24:24" x14ac:dyDescent="0.3">
      <c r="X592" s="78"/>
    </row>
    <row r="593" spans="24:24" x14ac:dyDescent="0.3">
      <c r="X593" s="78"/>
    </row>
    <row r="594" spans="24:24" x14ac:dyDescent="0.3">
      <c r="X594" s="78"/>
    </row>
    <row r="595" spans="24:24" x14ac:dyDescent="0.3">
      <c r="X595" s="78"/>
    </row>
    <row r="596" spans="24:24" x14ac:dyDescent="0.3">
      <c r="X596" s="78"/>
    </row>
    <row r="597" spans="24:24" x14ac:dyDescent="0.3">
      <c r="X597" s="78"/>
    </row>
    <row r="598" spans="24:24" x14ac:dyDescent="0.3">
      <c r="X598" s="78"/>
    </row>
    <row r="599" spans="24:24" x14ac:dyDescent="0.3">
      <c r="X599" s="78"/>
    </row>
    <row r="600" spans="24:24" x14ac:dyDescent="0.3">
      <c r="X600" s="78"/>
    </row>
    <row r="601" spans="24:24" x14ac:dyDescent="0.3">
      <c r="X601" s="78"/>
    </row>
    <row r="602" spans="24:24" x14ac:dyDescent="0.3">
      <c r="X602" s="78"/>
    </row>
    <row r="603" spans="24:24" x14ac:dyDescent="0.3">
      <c r="X603" s="78"/>
    </row>
    <row r="604" spans="24:24" x14ac:dyDescent="0.3">
      <c r="X604" s="78"/>
    </row>
    <row r="605" spans="24:24" x14ac:dyDescent="0.3">
      <c r="X605" s="78"/>
    </row>
    <row r="606" spans="24:24" x14ac:dyDescent="0.3">
      <c r="X606" s="78"/>
    </row>
    <row r="607" spans="24:24" x14ac:dyDescent="0.3">
      <c r="X607" s="78"/>
    </row>
    <row r="608" spans="24:24" x14ac:dyDescent="0.3">
      <c r="X608" s="78"/>
    </row>
    <row r="609" spans="24:24" x14ac:dyDescent="0.3">
      <c r="X609" s="78"/>
    </row>
    <row r="610" spans="24:24" x14ac:dyDescent="0.3">
      <c r="X610" s="78"/>
    </row>
    <row r="611" spans="24:24" x14ac:dyDescent="0.3">
      <c r="X611" s="78"/>
    </row>
    <row r="612" spans="24:24" x14ac:dyDescent="0.3">
      <c r="X612" s="78"/>
    </row>
    <row r="613" spans="24:24" x14ac:dyDescent="0.3">
      <c r="X613" s="78"/>
    </row>
    <row r="614" spans="24:24" x14ac:dyDescent="0.3">
      <c r="X614" s="78"/>
    </row>
    <row r="615" spans="24:24" x14ac:dyDescent="0.3">
      <c r="X615" s="78"/>
    </row>
    <row r="616" spans="24:24" x14ac:dyDescent="0.3">
      <c r="X616" s="78"/>
    </row>
    <row r="617" spans="24:24" x14ac:dyDescent="0.3">
      <c r="X617" s="78"/>
    </row>
    <row r="618" spans="24:24" x14ac:dyDescent="0.3">
      <c r="X618" s="78"/>
    </row>
    <row r="619" spans="24:24" x14ac:dyDescent="0.3">
      <c r="X619" s="78"/>
    </row>
    <row r="620" spans="24:24" x14ac:dyDescent="0.3">
      <c r="X620" s="78"/>
    </row>
    <row r="621" spans="24:24" x14ac:dyDescent="0.3">
      <c r="X621" s="78"/>
    </row>
    <row r="622" spans="24:24" x14ac:dyDescent="0.3">
      <c r="X622" s="78"/>
    </row>
    <row r="623" spans="24:24" x14ac:dyDescent="0.3">
      <c r="X623" s="78"/>
    </row>
    <row r="624" spans="24:24" x14ac:dyDescent="0.3">
      <c r="X624" s="78"/>
    </row>
    <row r="625" spans="24:24" x14ac:dyDescent="0.3">
      <c r="X625" s="78"/>
    </row>
    <row r="626" spans="24:24" x14ac:dyDescent="0.3">
      <c r="X626" s="78"/>
    </row>
    <row r="627" spans="24:24" x14ac:dyDescent="0.3">
      <c r="X627" s="78"/>
    </row>
    <row r="628" spans="24:24" x14ac:dyDescent="0.3">
      <c r="X628" s="78"/>
    </row>
    <row r="629" spans="24:24" x14ac:dyDescent="0.3">
      <c r="X629" s="78"/>
    </row>
    <row r="630" spans="24:24" x14ac:dyDescent="0.3">
      <c r="X630" s="78"/>
    </row>
    <row r="631" spans="24:24" x14ac:dyDescent="0.3">
      <c r="X631" s="78"/>
    </row>
    <row r="632" spans="24:24" x14ac:dyDescent="0.3">
      <c r="X632" s="78"/>
    </row>
    <row r="633" spans="24:24" x14ac:dyDescent="0.3">
      <c r="X633" s="78"/>
    </row>
    <row r="634" spans="24:24" x14ac:dyDescent="0.3">
      <c r="X634" s="78"/>
    </row>
    <row r="635" spans="24:24" x14ac:dyDescent="0.3">
      <c r="X635" s="78"/>
    </row>
    <row r="636" spans="24:24" x14ac:dyDescent="0.3">
      <c r="X636" s="78"/>
    </row>
    <row r="637" spans="24:24" x14ac:dyDescent="0.3">
      <c r="X637" s="78"/>
    </row>
    <row r="638" spans="24:24" x14ac:dyDescent="0.3">
      <c r="X638" s="78"/>
    </row>
    <row r="639" spans="24:24" x14ac:dyDescent="0.3">
      <c r="X639" s="78"/>
    </row>
    <row r="640" spans="24:24" x14ac:dyDescent="0.3">
      <c r="X640" s="78"/>
    </row>
    <row r="641" spans="24:24" x14ac:dyDescent="0.3">
      <c r="X641" s="78"/>
    </row>
    <row r="642" spans="24:24" x14ac:dyDescent="0.3">
      <c r="X642" s="78"/>
    </row>
    <row r="643" spans="24:24" x14ac:dyDescent="0.3">
      <c r="X643" s="78"/>
    </row>
    <row r="644" spans="24:24" x14ac:dyDescent="0.3">
      <c r="X644" s="78"/>
    </row>
    <row r="645" spans="24:24" x14ac:dyDescent="0.3">
      <c r="X645" s="78"/>
    </row>
    <row r="646" spans="24:24" x14ac:dyDescent="0.3">
      <c r="X646" s="78"/>
    </row>
    <row r="647" spans="24:24" x14ac:dyDescent="0.3">
      <c r="X647" s="78"/>
    </row>
    <row r="648" spans="24:24" x14ac:dyDescent="0.3">
      <c r="X648" s="78"/>
    </row>
    <row r="649" spans="24:24" x14ac:dyDescent="0.3">
      <c r="X649" s="78"/>
    </row>
    <row r="650" spans="24:24" x14ac:dyDescent="0.3">
      <c r="X650" s="78"/>
    </row>
    <row r="651" spans="24:24" x14ac:dyDescent="0.3">
      <c r="X651" s="78"/>
    </row>
    <row r="652" spans="24:24" x14ac:dyDescent="0.3">
      <c r="X652" s="78"/>
    </row>
    <row r="653" spans="24:24" x14ac:dyDescent="0.3">
      <c r="X653" s="78"/>
    </row>
    <row r="654" spans="24:24" x14ac:dyDescent="0.3">
      <c r="X654" s="78"/>
    </row>
    <row r="655" spans="24:24" x14ac:dyDescent="0.3">
      <c r="X655" s="78"/>
    </row>
    <row r="656" spans="24:24" x14ac:dyDescent="0.3">
      <c r="X656" s="78"/>
    </row>
    <row r="657" spans="24:24" x14ac:dyDescent="0.3">
      <c r="X657" s="78"/>
    </row>
    <row r="658" spans="24:24" x14ac:dyDescent="0.3">
      <c r="X658" s="78"/>
    </row>
    <row r="659" spans="24:24" x14ac:dyDescent="0.3">
      <c r="X659" s="78"/>
    </row>
    <row r="660" spans="24:24" x14ac:dyDescent="0.3">
      <c r="X660" s="78"/>
    </row>
    <row r="661" spans="24:24" x14ac:dyDescent="0.3">
      <c r="X661" s="78"/>
    </row>
    <row r="662" spans="24:24" x14ac:dyDescent="0.3">
      <c r="X662" s="78"/>
    </row>
    <row r="663" spans="24:24" x14ac:dyDescent="0.3">
      <c r="X663" s="78"/>
    </row>
    <row r="664" spans="24:24" x14ac:dyDescent="0.3">
      <c r="X664" s="78"/>
    </row>
    <row r="665" spans="24:24" x14ac:dyDescent="0.3">
      <c r="X665" s="78"/>
    </row>
    <row r="666" spans="24:24" x14ac:dyDescent="0.3">
      <c r="X666" s="78"/>
    </row>
    <row r="667" spans="24:24" x14ac:dyDescent="0.3">
      <c r="X667" s="78"/>
    </row>
    <row r="668" spans="24:24" x14ac:dyDescent="0.3">
      <c r="X668" s="78"/>
    </row>
    <row r="669" spans="24:24" x14ac:dyDescent="0.3">
      <c r="X669" s="78"/>
    </row>
    <row r="670" spans="24:24" x14ac:dyDescent="0.3">
      <c r="X670" s="78"/>
    </row>
    <row r="671" spans="24:24" x14ac:dyDescent="0.3">
      <c r="X671" s="78"/>
    </row>
    <row r="672" spans="24:24" x14ac:dyDescent="0.3">
      <c r="X672" s="78"/>
    </row>
    <row r="673" spans="24:24" x14ac:dyDescent="0.3">
      <c r="X673" s="78"/>
    </row>
    <row r="674" spans="24:24" x14ac:dyDescent="0.3">
      <c r="X674" s="78"/>
    </row>
    <row r="675" spans="24:24" x14ac:dyDescent="0.3">
      <c r="X675" s="78"/>
    </row>
    <row r="676" spans="24:24" x14ac:dyDescent="0.3">
      <c r="X676" s="78"/>
    </row>
    <row r="677" spans="24:24" x14ac:dyDescent="0.3">
      <c r="X677" s="78"/>
    </row>
    <row r="678" spans="24:24" x14ac:dyDescent="0.3">
      <c r="X678" s="78"/>
    </row>
    <row r="679" spans="24:24" x14ac:dyDescent="0.3">
      <c r="X679" s="78"/>
    </row>
    <row r="680" spans="24:24" x14ac:dyDescent="0.3">
      <c r="X680" s="78"/>
    </row>
    <row r="681" spans="24:24" x14ac:dyDescent="0.3">
      <c r="X681" s="78"/>
    </row>
    <row r="682" spans="24:24" x14ac:dyDescent="0.3">
      <c r="X682" s="78"/>
    </row>
    <row r="683" spans="24:24" x14ac:dyDescent="0.3">
      <c r="X683" s="78"/>
    </row>
    <row r="684" spans="24:24" x14ac:dyDescent="0.3">
      <c r="X684" s="78"/>
    </row>
    <row r="685" spans="24:24" x14ac:dyDescent="0.3">
      <c r="X685" s="78"/>
    </row>
    <row r="686" spans="24:24" x14ac:dyDescent="0.3">
      <c r="X686" s="78"/>
    </row>
    <row r="687" spans="24:24" x14ac:dyDescent="0.3">
      <c r="X687" s="78"/>
    </row>
    <row r="688" spans="24:24" x14ac:dyDescent="0.3">
      <c r="X688" s="78"/>
    </row>
    <row r="689" spans="24:24" x14ac:dyDescent="0.3">
      <c r="X689" s="78"/>
    </row>
    <row r="690" spans="24:24" x14ac:dyDescent="0.3">
      <c r="X690" s="78"/>
    </row>
    <row r="691" spans="24:24" x14ac:dyDescent="0.3">
      <c r="X691" s="78"/>
    </row>
    <row r="692" spans="24:24" x14ac:dyDescent="0.3">
      <c r="X692" s="78"/>
    </row>
    <row r="693" spans="24:24" x14ac:dyDescent="0.3">
      <c r="X693" s="78"/>
    </row>
    <row r="694" spans="24:24" x14ac:dyDescent="0.3">
      <c r="X694" s="78"/>
    </row>
    <row r="695" spans="24:24" x14ac:dyDescent="0.3">
      <c r="X695" s="78"/>
    </row>
    <row r="696" spans="24:24" x14ac:dyDescent="0.3">
      <c r="X696" s="78"/>
    </row>
    <row r="697" spans="24:24" x14ac:dyDescent="0.3">
      <c r="X697" s="78"/>
    </row>
    <row r="698" spans="24:24" x14ac:dyDescent="0.3">
      <c r="X698" s="78"/>
    </row>
    <row r="699" spans="24:24" x14ac:dyDescent="0.3">
      <c r="X699" s="78"/>
    </row>
    <row r="700" spans="24:24" x14ac:dyDescent="0.3">
      <c r="X700" s="78"/>
    </row>
    <row r="701" spans="24:24" x14ac:dyDescent="0.3">
      <c r="X701" s="78"/>
    </row>
    <row r="702" spans="24:24" x14ac:dyDescent="0.3">
      <c r="X702" s="78"/>
    </row>
    <row r="703" spans="24:24" x14ac:dyDescent="0.3">
      <c r="X703" s="78"/>
    </row>
    <row r="704" spans="24:24" x14ac:dyDescent="0.3">
      <c r="X704" s="78"/>
    </row>
    <row r="705" spans="24:24" x14ac:dyDescent="0.3">
      <c r="X705" s="78"/>
    </row>
    <row r="706" spans="24:24" x14ac:dyDescent="0.3">
      <c r="X706" s="78"/>
    </row>
    <row r="707" spans="24:24" x14ac:dyDescent="0.3">
      <c r="X707" s="78"/>
    </row>
    <row r="708" spans="24:24" x14ac:dyDescent="0.3">
      <c r="X708" s="78"/>
    </row>
    <row r="709" spans="24:24" x14ac:dyDescent="0.3">
      <c r="X709" s="78"/>
    </row>
    <row r="710" spans="24:24" x14ac:dyDescent="0.3">
      <c r="X710" s="78"/>
    </row>
    <row r="711" spans="24:24" x14ac:dyDescent="0.3">
      <c r="X711" s="78"/>
    </row>
    <row r="712" spans="24:24" x14ac:dyDescent="0.3">
      <c r="X712" s="78"/>
    </row>
    <row r="713" spans="24:24" x14ac:dyDescent="0.3">
      <c r="X713" s="78"/>
    </row>
    <row r="714" spans="24:24" x14ac:dyDescent="0.3">
      <c r="X714" s="78"/>
    </row>
    <row r="715" spans="24:24" x14ac:dyDescent="0.3">
      <c r="X715" s="78"/>
    </row>
    <row r="716" spans="24:24" x14ac:dyDescent="0.3">
      <c r="X716" s="78"/>
    </row>
    <row r="717" spans="24:24" x14ac:dyDescent="0.3">
      <c r="X717" s="78"/>
    </row>
    <row r="718" spans="24:24" x14ac:dyDescent="0.3">
      <c r="X718" s="78"/>
    </row>
    <row r="719" spans="24:24" x14ac:dyDescent="0.3">
      <c r="X719" s="78"/>
    </row>
    <row r="720" spans="24:24" x14ac:dyDescent="0.3">
      <c r="X720" s="78"/>
    </row>
    <row r="721" spans="24:24" x14ac:dyDescent="0.3">
      <c r="X721" s="78"/>
    </row>
    <row r="722" spans="24:24" x14ac:dyDescent="0.3">
      <c r="X722" s="78"/>
    </row>
    <row r="723" spans="24:24" x14ac:dyDescent="0.3">
      <c r="X723" s="78"/>
    </row>
    <row r="724" spans="24:24" x14ac:dyDescent="0.3">
      <c r="X724" s="78"/>
    </row>
    <row r="725" spans="24:24" x14ac:dyDescent="0.3">
      <c r="X725" s="78"/>
    </row>
    <row r="726" spans="24:24" x14ac:dyDescent="0.3">
      <c r="X726" s="78"/>
    </row>
    <row r="727" spans="24:24" x14ac:dyDescent="0.3">
      <c r="X727" s="78"/>
    </row>
    <row r="728" spans="24:24" x14ac:dyDescent="0.3">
      <c r="X728" s="78"/>
    </row>
    <row r="729" spans="24:24" x14ac:dyDescent="0.3">
      <c r="X729" s="78"/>
    </row>
    <row r="730" spans="24:24" x14ac:dyDescent="0.3">
      <c r="X730" s="78"/>
    </row>
    <row r="731" spans="24:24" x14ac:dyDescent="0.3">
      <c r="X731" s="78"/>
    </row>
    <row r="732" spans="24:24" x14ac:dyDescent="0.3">
      <c r="X732" s="78"/>
    </row>
    <row r="733" spans="24:24" x14ac:dyDescent="0.3">
      <c r="X733" s="78"/>
    </row>
    <row r="734" spans="24:24" x14ac:dyDescent="0.3">
      <c r="X734" s="78"/>
    </row>
    <row r="735" spans="24:24" x14ac:dyDescent="0.3">
      <c r="X735" s="78"/>
    </row>
    <row r="736" spans="24:24" x14ac:dyDescent="0.3">
      <c r="X736" s="78"/>
    </row>
    <row r="737" spans="24:24" x14ac:dyDescent="0.3">
      <c r="X737" s="78"/>
    </row>
    <row r="738" spans="24:24" x14ac:dyDescent="0.3">
      <c r="X738" s="78"/>
    </row>
    <row r="739" spans="24:24" x14ac:dyDescent="0.3">
      <c r="X739" s="78"/>
    </row>
    <row r="740" spans="24:24" x14ac:dyDescent="0.3">
      <c r="X740" s="78"/>
    </row>
    <row r="741" spans="24:24" x14ac:dyDescent="0.3">
      <c r="X741" s="78"/>
    </row>
    <row r="742" spans="24:24" x14ac:dyDescent="0.3">
      <c r="X742" s="78"/>
    </row>
    <row r="743" spans="24:24" x14ac:dyDescent="0.3">
      <c r="X743" s="78"/>
    </row>
    <row r="744" spans="24:24" x14ac:dyDescent="0.3">
      <c r="X744" s="78"/>
    </row>
    <row r="745" spans="24:24" x14ac:dyDescent="0.3">
      <c r="X745" s="78"/>
    </row>
    <row r="746" spans="24:24" x14ac:dyDescent="0.3">
      <c r="X746" s="78"/>
    </row>
    <row r="747" spans="24:24" x14ac:dyDescent="0.3">
      <c r="X747" s="78"/>
    </row>
    <row r="748" spans="24:24" x14ac:dyDescent="0.3">
      <c r="X748" s="78"/>
    </row>
    <row r="749" spans="24:24" x14ac:dyDescent="0.3">
      <c r="X749" s="78"/>
    </row>
    <row r="750" spans="24:24" x14ac:dyDescent="0.3">
      <c r="X750" s="78"/>
    </row>
    <row r="751" spans="24:24" x14ac:dyDescent="0.3">
      <c r="X751" s="78"/>
    </row>
    <row r="752" spans="24:24" x14ac:dyDescent="0.3">
      <c r="X752" s="78"/>
    </row>
    <row r="753" spans="24:24" x14ac:dyDescent="0.3">
      <c r="X753" s="78"/>
    </row>
    <row r="754" spans="24:24" x14ac:dyDescent="0.3">
      <c r="X754" s="78"/>
    </row>
    <row r="755" spans="24:24" x14ac:dyDescent="0.3">
      <c r="X755" s="78"/>
    </row>
    <row r="756" spans="24:24" x14ac:dyDescent="0.3">
      <c r="X756" s="78"/>
    </row>
    <row r="757" spans="24:24" x14ac:dyDescent="0.3">
      <c r="X757" s="78"/>
    </row>
    <row r="758" spans="24:24" x14ac:dyDescent="0.3">
      <c r="X758" s="78"/>
    </row>
    <row r="759" spans="24:24" x14ac:dyDescent="0.3">
      <c r="X759" s="78"/>
    </row>
    <row r="760" spans="24:24" x14ac:dyDescent="0.3">
      <c r="X760" s="78"/>
    </row>
    <row r="761" spans="24:24" x14ac:dyDescent="0.3">
      <c r="X761" s="78"/>
    </row>
    <row r="762" spans="24:24" x14ac:dyDescent="0.3">
      <c r="X762" s="78"/>
    </row>
    <row r="763" spans="24:24" x14ac:dyDescent="0.3">
      <c r="X763" s="78"/>
    </row>
    <row r="764" spans="24:24" x14ac:dyDescent="0.3">
      <c r="X764" s="78"/>
    </row>
    <row r="765" spans="24:24" x14ac:dyDescent="0.3">
      <c r="X765" s="78"/>
    </row>
    <row r="766" spans="24:24" x14ac:dyDescent="0.3">
      <c r="X766" s="78"/>
    </row>
    <row r="767" spans="24:24" x14ac:dyDescent="0.3">
      <c r="X767" s="78"/>
    </row>
    <row r="768" spans="24:24" x14ac:dyDescent="0.3">
      <c r="X768" s="78"/>
    </row>
    <row r="769" spans="24:24" x14ac:dyDescent="0.3">
      <c r="X769" s="78"/>
    </row>
    <row r="770" spans="24:24" x14ac:dyDescent="0.3">
      <c r="X770" s="78"/>
    </row>
    <row r="771" spans="24:24" x14ac:dyDescent="0.3">
      <c r="X771" s="78"/>
    </row>
    <row r="772" spans="24:24" x14ac:dyDescent="0.3">
      <c r="X772" s="78"/>
    </row>
    <row r="773" spans="24:24" x14ac:dyDescent="0.3">
      <c r="X773" s="78"/>
    </row>
    <row r="774" spans="24:24" x14ac:dyDescent="0.3">
      <c r="X774" s="78"/>
    </row>
    <row r="775" spans="24:24" x14ac:dyDescent="0.3">
      <c r="X775" s="78"/>
    </row>
    <row r="776" spans="24:24" x14ac:dyDescent="0.3">
      <c r="X776" s="78"/>
    </row>
    <row r="777" spans="24:24" x14ac:dyDescent="0.3">
      <c r="X777" s="78"/>
    </row>
    <row r="778" spans="24:24" x14ac:dyDescent="0.3">
      <c r="X778" s="78"/>
    </row>
    <row r="779" spans="24:24" x14ac:dyDescent="0.3">
      <c r="X779" s="78"/>
    </row>
    <row r="780" spans="24:24" x14ac:dyDescent="0.3">
      <c r="X780" s="78"/>
    </row>
    <row r="781" spans="24:24" x14ac:dyDescent="0.3">
      <c r="X781" s="78"/>
    </row>
    <row r="782" spans="24:24" x14ac:dyDescent="0.3">
      <c r="X782" s="78"/>
    </row>
    <row r="783" spans="24:24" x14ac:dyDescent="0.3">
      <c r="X783" s="78"/>
    </row>
    <row r="784" spans="24:24" x14ac:dyDescent="0.3">
      <c r="X784" s="78"/>
    </row>
    <row r="785" spans="24:24" x14ac:dyDescent="0.3">
      <c r="X785" s="78"/>
    </row>
    <row r="786" spans="24:24" x14ac:dyDescent="0.3">
      <c r="X786" s="78"/>
    </row>
    <row r="787" spans="24:24" x14ac:dyDescent="0.3">
      <c r="X787" s="78"/>
    </row>
    <row r="788" spans="24:24" x14ac:dyDescent="0.3">
      <c r="X788" s="78"/>
    </row>
    <row r="789" spans="24:24" x14ac:dyDescent="0.3">
      <c r="X789" s="78"/>
    </row>
    <row r="790" spans="24:24" x14ac:dyDescent="0.3">
      <c r="X790" s="78"/>
    </row>
    <row r="791" spans="24:24" x14ac:dyDescent="0.3">
      <c r="X791" s="78"/>
    </row>
    <row r="792" spans="24:24" x14ac:dyDescent="0.3">
      <c r="X792" s="78"/>
    </row>
    <row r="793" spans="24:24" x14ac:dyDescent="0.3">
      <c r="X793" s="78"/>
    </row>
    <row r="794" spans="24:24" x14ac:dyDescent="0.3">
      <c r="X794" s="78"/>
    </row>
    <row r="795" spans="24:24" x14ac:dyDescent="0.3">
      <c r="X795" s="78"/>
    </row>
    <row r="796" spans="24:24" x14ac:dyDescent="0.3">
      <c r="X796" s="78"/>
    </row>
    <row r="797" spans="24:24" x14ac:dyDescent="0.3">
      <c r="X797" s="78"/>
    </row>
    <row r="798" spans="24:24" x14ac:dyDescent="0.3">
      <c r="X798" s="78"/>
    </row>
    <row r="799" spans="24:24" x14ac:dyDescent="0.3">
      <c r="X799" s="78"/>
    </row>
    <row r="800" spans="24:24" x14ac:dyDescent="0.3">
      <c r="X800" s="78"/>
    </row>
    <row r="801" spans="24:24" x14ac:dyDescent="0.3">
      <c r="X801" s="78"/>
    </row>
    <row r="802" spans="24:24" x14ac:dyDescent="0.3">
      <c r="X802" s="78"/>
    </row>
    <row r="803" spans="24:24" x14ac:dyDescent="0.3">
      <c r="X803" s="78"/>
    </row>
    <row r="804" spans="24:24" x14ac:dyDescent="0.3">
      <c r="X804" s="78"/>
    </row>
    <row r="805" spans="24:24" x14ac:dyDescent="0.3">
      <c r="X805" s="78"/>
    </row>
    <row r="806" spans="24:24" x14ac:dyDescent="0.3">
      <c r="X806" s="78"/>
    </row>
    <row r="807" spans="24:24" x14ac:dyDescent="0.3">
      <c r="X807" s="78"/>
    </row>
    <row r="808" spans="24:24" x14ac:dyDescent="0.3">
      <c r="X808" s="78"/>
    </row>
    <row r="809" spans="24:24" x14ac:dyDescent="0.3">
      <c r="X809" s="78"/>
    </row>
    <row r="810" spans="24:24" x14ac:dyDescent="0.3">
      <c r="X810" s="78"/>
    </row>
    <row r="811" spans="24:24" x14ac:dyDescent="0.3">
      <c r="X811" s="78"/>
    </row>
    <row r="812" spans="24:24" x14ac:dyDescent="0.3">
      <c r="X812" s="78"/>
    </row>
    <row r="813" spans="24:24" x14ac:dyDescent="0.3">
      <c r="X813" s="78"/>
    </row>
    <row r="814" spans="24:24" x14ac:dyDescent="0.3">
      <c r="X814" s="78"/>
    </row>
    <row r="815" spans="24:24" x14ac:dyDescent="0.3">
      <c r="X815" s="78"/>
    </row>
    <row r="816" spans="24:24" x14ac:dyDescent="0.3">
      <c r="X816" s="78"/>
    </row>
    <row r="817" spans="24:24" x14ac:dyDescent="0.3">
      <c r="X817" s="78"/>
    </row>
    <row r="818" spans="24:24" x14ac:dyDescent="0.3">
      <c r="X818" s="78"/>
    </row>
    <row r="819" spans="24:24" x14ac:dyDescent="0.3">
      <c r="X819" s="78"/>
    </row>
    <row r="820" spans="24:24" x14ac:dyDescent="0.3">
      <c r="X820" s="78"/>
    </row>
    <row r="821" spans="24:24" x14ac:dyDescent="0.3">
      <c r="X821" s="78"/>
    </row>
    <row r="822" spans="24:24" x14ac:dyDescent="0.3">
      <c r="X822" s="78"/>
    </row>
    <row r="823" spans="24:24" x14ac:dyDescent="0.3">
      <c r="X823" s="78"/>
    </row>
    <row r="824" spans="24:24" x14ac:dyDescent="0.3">
      <c r="X824" s="78"/>
    </row>
    <row r="825" spans="24:24" x14ac:dyDescent="0.3">
      <c r="X825" s="78"/>
    </row>
    <row r="826" spans="24:24" x14ac:dyDescent="0.3">
      <c r="X826" s="78"/>
    </row>
    <row r="827" spans="24:24" x14ac:dyDescent="0.3">
      <c r="X827" s="78"/>
    </row>
    <row r="828" spans="24:24" x14ac:dyDescent="0.3">
      <c r="X828" s="78"/>
    </row>
    <row r="829" spans="24:24" x14ac:dyDescent="0.3">
      <c r="X829" s="78"/>
    </row>
    <row r="830" spans="24:24" x14ac:dyDescent="0.3">
      <c r="X830" s="78"/>
    </row>
    <row r="831" spans="24:24" x14ac:dyDescent="0.3">
      <c r="X831" s="78"/>
    </row>
    <row r="832" spans="24:24" x14ac:dyDescent="0.3">
      <c r="X832" s="78"/>
    </row>
    <row r="833" spans="24:24" x14ac:dyDescent="0.3">
      <c r="X833" s="78"/>
    </row>
    <row r="834" spans="24:24" x14ac:dyDescent="0.3">
      <c r="X834" s="78"/>
    </row>
    <row r="835" spans="24:24" x14ac:dyDescent="0.3">
      <c r="X835" s="78"/>
    </row>
    <row r="836" spans="24:24" x14ac:dyDescent="0.3">
      <c r="X836" s="78"/>
    </row>
    <row r="837" spans="24:24" x14ac:dyDescent="0.3">
      <c r="X837" s="78"/>
    </row>
    <row r="838" spans="24:24" x14ac:dyDescent="0.3">
      <c r="X838" s="78"/>
    </row>
    <row r="839" spans="24:24" x14ac:dyDescent="0.3">
      <c r="X839" s="78"/>
    </row>
    <row r="840" spans="24:24" x14ac:dyDescent="0.3">
      <c r="X840" s="78"/>
    </row>
    <row r="841" spans="24:24" x14ac:dyDescent="0.3">
      <c r="X841" s="78"/>
    </row>
    <row r="842" spans="24:24" x14ac:dyDescent="0.3">
      <c r="X842" s="78"/>
    </row>
    <row r="843" spans="24:24" x14ac:dyDescent="0.3">
      <c r="X843" s="78"/>
    </row>
    <row r="844" spans="24:24" x14ac:dyDescent="0.3">
      <c r="X844" s="78"/>
    </row>
    <row r="845" spans="24:24" x14ac:dyDescent="0.3">
      <c r="X845" s="78"/>
    </row>
    <row r="846" spans="24:24" x14ac:dyDescent="0.3">
      <c r="X846" s="78"/>
    </row>
    <row r="847" spans="24:24" x14ac:dyDescent="0.3">
      <c r="X847" s="78"/>
    </row>
    <row r="848" spans="24:24" x14ac:dyDescent="0.3">
      <c r="X848" s="78"/>
    </row>
    <row r="849" spans="24:24" x14ac:dyDescent="0.3">
      <c r="X849" s="78"/>
    </row>
    <row r="850" spans="24:24" x14ac:dyDescent="0.3">
      <c r="X850" s="78"/>
    </row>
    <row r="851" spans="24:24" x14ac:dyDescent="0.3">
      <c r="X851" s="78"/>
    </row>
    <row r="852" spans="24:24" x14ac:dyDescent="0.3">
      <c r="X852" s="78"/>
    </row>
    <row r="853" spans="24:24" x14ac:dyDescent="0.3">
      <c r="X853" s="78"/>
    </row>
  </sheetData>
  <pageMargins left="0.7" right="0.7" top="0.75" bottom="0.75" header="0.3" footer="0.3"/>
  <pageSetup orientation="landscape" r:id="rId1"/>
  <headerFooter>
    <oddFooter>&amp;L&amp;D&amp;T&amp;R&amp;P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9"/>
  <sheetViews>
    <sheetView zoomScale="95" zoomScaleNormal="95" workbookViewId="0">
      <pane ySplit="4" topLeftCell="A98" activePane="bottomLeft" state="frozen"/>
      <selection pane="bottomLeft" activeCell="M128" sqref="M128"/>
    </sheetView>
  </sheetViews>
  <sheetFormatPr defaultColWidth="9.109375" defaultRowHeight="12.6" customHeight="1" x14ac:dyDescent="0.3"/>
  <cols>
    <col min="1" max="1" width="35" style="75" customWidth="1"/>
    <col min="2" max="2" width="15.44140625" style="64" customWidth="1"/>
    <col min="3" max="3" width="15.88671875" style="64" customWidth="1"/>
    <col min="4" max="4" width="16.5546875" style="64" customWidth="1"/>
    <col min="5" max="5" width="13.33203125" style="64" hidden="1" customWidth="1"/>
    <col min="6" max="6" width="11.5546875" style="64" hidden="1" customWidth="1"/>
    <col min="7" max="7" width="23.88671875" style="64" customWidth="1"/>
    <col min="8" max="16384" width="9.109375" style="64"/>
  </cols>
  <sheetData>
    <row r="1" spans="1:48" s="46" customFormat="1" ht="15.75" customHeight="1" x14ac:dyDescent="0.3">
      <c r="A1" s="71" t="s">
        <v>251</v>
      </c>
      <c r="B1" s="119">
        <v>309</v>
      </c>
      <c r="C1" s="119">
        <v>309</v>
      </c>
      <c r="D1" s="119" t="s">
        <v>269</v>
      </c>
      <c r="E1" s="119">
        <v>305</v>
      </c>
      <c r="F1" s="119">
        <v>291.83999999999997</v>
      </c>
      <c r="G1" s="46" t="s">
        <v>451</v>
      </c>
    </row>
    <row r="2" spans="1:48" s="44" customFormat="1" ht="16.5" customHeight="1" x14ac:dyDescent="0.3">
      <c r="A2" s="70" t="s">
        <v>252</v>
      </c>
      <c r="B2" s="177">
        <v>7393</v>
      </c>
      <c r="C2" s="177">
        <v>7248</v>
      </c>
      <c r="D2" s="177">
        <v>7220</v>
      </c>
      <c r="E2" s="177">
        <v>7196.96</v>
      </c>
      <c r="F2" s="177">
        <v>7196.96</v>
      </c>
      <c r="G2" s="44" t="s">
        <v>445</v>
      </c>
    </row>
    <row r="3" spans="1:48" s="44" customFormat="1" ht="16.5" customHeight="1" x14ac:dyDescent="0.3">
      <c r="A3" s="70" t="s">
        <v>22</v>
      </c>
      <c r="B3" s="178">
        <v>250</v>
      </c>
      <c r="C3" s="178">
        <v>250</v>
      </c>
      <c r="D3" s="178">
        <v>250</v>
      </c>
      <c r="E3" s="178">
        <v>250</v>
      </c>
      <c r="F3" s="178">
        <v>250</v>
      </c>
    </row>
    <row r="4" spans="1:48" s="44" customFormat="1" ht="31.5" customHeight="1" thickBot="1" x14ac:dyDescent="0.35">
      <c r="A4" s="72"/>
      <c r="B4" s="187" t="s">
        <v>444</v>
      </c>
      <c r="C4" s="187" t="s">
        <v>453</v>
      </c>
      <c r="D4" s="187" t="s">
        <v>423</v>
      </c>
      <c r="E4" s="187" t="s">
        <v>325</v>
      </c>
      <c r="F4" s="187" t="s">
        <v>306</v>
      </c>
    </row>
    <row r="5" spans="1:48" s="154" customFormat="1" ht="12" customHeight="1" x14ac:dyDescent="0.3">
      <c r="A5" s="236" t="s">
        <v>16</v>
      </c>
      <c r="B5" s="237"/>
      <c r="C5" s="237"/>
      <c r="D5" s="237"/>
      <c r="E5" s="156"/>
      <c r="F5" s="156"/>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row>
    <row r="6" spans="1:48" ht="12" customHeight="1" x14ac:dyDescent="0.3">
      <c r="A6" s="74" t="s">
        <v>26</v>
      </c>
    </row>
    <row r="7" spans="1:48" ht="12" customHeight="1" x14ac:dyDescent="0.3">
      <c r="A7" s="75" t="s">
        <v>279</v>
      </c>
      <c r="B7" s="76">
        <v>5000</v>
      </c>
      <c r="C7" s="76">
        <v>4650</v>
      </c>
      <c r="D7" s="76">
        <v>5000</v>
      </c>
      <c r="E7" s="76">
        <v>5000</v>
      </c>
      <c r="F7" s="76">
        <v>2945</v>
      </c>
      <c r="G7" s="64" t="s">
        <v>421</v>
      </c>
    </row>
    <row r="8" spans="1:48" ht="12" customHeight="1" x14ac:dyDescent="0.3">
      <c r="A8" s="75" t="s">
        <v>242</v>
      </c>
      <c r="B8" s="76">
        <v>15000</v>
      </c>
      <c r="C8" s="76">
        <v>16262</v>
      </c>
      <c r="D8" s="76">
        <v>15000</v>
      </c>
      <c r="E8" s="76">
        <v>15000</v>
      </c>
      <c r="F8" s="76">
        <v>14216</v>
      </c>
      <c r="G8" s="64" t="s">
        <v>422</v>
      </c>
    </row>
    <row r="9" spans="1:48" ht="12" customHeight="1" x14ac:dyDescent="0.3">
      <c r="A9" s="75" t="s">
        <v>17</v>
      </c>
      <c r="B9" s="64">
        <v>13500</v>
      </c>
      <c r="C9" s="76">
        <v>13957</v>
      </c>
      <c r="D9" s="64">
        <v>13631</v>
      </c>
      <c r="E9" s="64">
        <v>9905</v>
      </c>
      <c r="F9" s="64">
        <v>11106</v>
      </c>
    </row>
    <row r="10" spans="1:48" ht="12" customHeight="1" x14ac:dyDescent="0.3">
      <c r="A10" s="75" t="s">
        <v>347</v>
      </c>
      <c r="B10" s="64">
        <v>500</v>
      </c>
      <c r="C10" s="76">
        <v>991</v>
      </c>
      <c r="D10" s="64">
        <v>601</v>
      </c>
      <c r="E10" s="64">
        <v>0</v>
      </c>
      <c r="F10" s="64">
        <v>5667</v>
      </c>
      <c r="G10" s="64" t="s">
        <v>420</v>
      </c>
    </row>
    <row r="11" spans="1:48" ht="12" customHeight="1" x14ac:dyDescent="0.3">
      <c r="A11" s="75" t="s">
        <v>277</v>
      </c>
      <c r="B11" s="64">
        <v>5000</v>
      </c>
      <c r="C11" s="76">
        <v>5000</v>
      </c>
      <c r="D11" s="64">
        <v>5000</v>
      </c>
      <c r="E11" s="64">
        <v>3700</v>
      </c>
      <c r="F11" s="64">
        <v>3157</v>
      </c>
      <c r="G11" s="64" t="s">
        <v>301</v>
      </c>
    </row>
    <row r="12" spans="1:48" ht="15.75" customHeight="1" x14ac:dyDescent="0.3">
      <c r="A12" s="75" t="s">
        <v>193</v>
      </c>
      <c r="B12" s="76">
        <v>18500</v>
      </c>
      <c r="C12" s="76">
        <v>18511</v>
      </c>
      <c r="D12" s="76">
        <v>19292</v>
      </c>
      <c r="E12" s="76">
        <v>20777</v>
      </c>
      <c r="F12" s="76">
        <v>22832</v>
      </c>
      <c r="G12" s="64" t="s">
        <v>15</v>
      </c>
    </row>
    <row r="13" spans="1:48" ht="15.75" customHeight="1" x14ac:dyDescent="0.3">
      <c r="A13" s="75" t="s">
        <v>194</v>
      </c>
      <c r="B13" s="76">
        <v>23000</v>
      </c>
      <c r="C13" s="76">
        <v>23404</v>
      </c>
      <c r="D13" s="76">
        <v>24449</v>
      </c>
      <c r="E13" s="76">
        <v>27631</v>
      </c>
      <c r="F13" s="76">
        <v>27631</v>
      </c>
    </row>
    <row r="14" spans="1:48" ht="15.75" customHeight="1" x14ac:dyDescent="0.3">
      <c r="A14" s="75" t="s">
        <v>212</v>
      </c>
      <c r="B14" s="76">
        <v>10000</v>
      </c>
      <c r="C14" s="76">
        <v>11768</v>
      </c>
      <c r="D14" s="76">
        <v>11997</v>
      </c>
      <c r="E14" s="76">
        <v>12163</v>
      </c>
      <c r="F14" s="76">
        <v>11998</v>
      </c>
    </row>
    <row r="15" spans="1:48" ht="15.75" customHeight="1" x14ac:dyDescent="0.3">
      <c r="A15" s="75" t="s">
        <v>204</v>
      </c>
      <c r="B15" s="76">
        <v>594</v>
      </c>
      <c r="C15" s="76">
        <v>594</v>
      </c>
      <c r="D15" s="76">
        <v>594</v>
      </c>
      <c r="E15" s="76">
        <v>681</v>
      </c>
      <c r="F15" s="76">
        <v>681</v>
      </c>
    </row>
    <row r="16" spans="1:48" ht="15.75" customHeight="1" x14ac:dyDescent="0.3">
      <c r="A16" s="75" t="s">
        <v>255</v>
      </c>
      <c r="B16" s="76">
        <v>8000</v>
      </c>
      <c r="C16" s="76">
        <v>8599</v>
      </c>
      <c r="D16" s="76">
        <v>8599</v>
      </c>
      <c r="E16" s="76">
        <v>2730.91</v>
      </c>
      <c r="F16" s="76">
        <v>2731</v>
      </c>
    </row>
    <row r="17" spans="1:48" ht="12" customHeight="1" x14ac:dyDescent="0.3">
      <c r="A17" s="75" t="s">
        <v>22</v>
      </c>
      <c r="B17" s="77">
        <f>B1*B3</f>
        <v>77250</v>
      </c>
      <c r="C17" s="76">
        <v>80527</v>
      </c>
      <c r="D17" s="77">
        <v>78429.119999999995</v>
      </c>
      <c r="E17" s="77">
        <v>78429.119999999995</v>
      </c>
      <c r="F17" s="77">
        <v>75454</v>
      </c>
    </row>
    <row r="18" spans="1:48" ht="14.4" x14ac:dyDescent="0.3">
      <c r="A18" s="75" t="s">
        <v>18</v>
      </c>
      <c r="B18" s="58">
        <f>B1*B2</f>
        <v>2284437</v>
      </c>
      <c r="C18" s="76">
        <v>2239632</v>
      </c>
      <c r="D18" s="58">
        <v>2230980</v>
      </c>
      <c r="E18" s="58">
        <v>2195073</v>
      </c>
      <c r="F18" s="58">
        <v>2072811</v>
      </c>
      <c r="G18" s="64" t="e">
        <f>+#REF!-B18</f>
        <v>#REF!</v>
      </c>
    </row>
    <row r="19" spans="1:48" ht="14.4" x14ac:dyDescent="0.3">
      <c r="A19" s="75" t="s">
        <v>289</v>
      </c>
      <c r="B19" s="58">
        <v>50000</v>
      </c>
      <c r="C19" s="76">
        <v>52611</v>
      </c>
      <c r="D19" s="58">
        <v>48511</v>
      </c>
      <c r="E19" s="58">
        <v>56000</v>
      </c>
      <c r="F19" s="58">
        <v>56865</v>
      </c>
    </row>
    <row r="20" spans="1:48" s="83" customFormat="1" ht="14.4" x14ac:dyDescent="0.3">
      <c r="A20" s="80" t="s">
        <v>209</v>
      </c>
      <c r="B20" s="81">
        <v>15000</v>
      </c>
      <c r="C20" s="66">
        <v>18505</v>
      </c>
      <c r="D20" s="81">
        <v>15000</v>
      </c>
      <c r="E20" s="81">
        <v>15000</v>
      </c>
      <c r="F20" s="81">
        <v>18895</v>
      </c>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row>
    <row r="21" spans="1:48" s="46" customFormat="1" ht="18" customHeight="1" x14ac:dyDescent="0.3">
      <c r="A21" s="74" t="s">
        <v>49</v>
      </c>
      <c r="B21" s="46">
        <f>SUM(B7:B20)</f>
        <v>2525781</v>
      </c>
      <c r="C21" s="46">
        <f>SUM(C7:C20)</f>
        <v>2495011</v>
      </c>
      <c r="D21" s="46">
        <f>SUM(D7:D20)</f>
        <v>2477083.12</v>
      </c>
      <c r="E21" s="46">
        <f>SUM(E6:E20)</f>
        <v>2442090.0299999998</v>
      </c>
      <c r="F21" s="46">
        <f>SUM(F7:F20)</f>
        <v>2326989</v>
      </c>
    </row>
    <row r="22" spans="1:48" ht="9.75" customHeight="1" x14ac:dyDescent="0.3"/>
    <row r="23" spans="1:48" s="155" customFormat="1" ht="12" customHeight="1" x14ac:dyDescent="0.3">
      <c r="A23" s="236" t="s">
        <v>19</v>
      </c>
      <c r="B23" s="238"/>
      <c r="C23" s="238"/>
      <c r="D23" s="238"/>
      <c r="E23" s="157"/>
      <c r="F23" s="157"/>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row>
    <row r="24" spans="1:48" ht="12" customHeight="1" x14ac:dyDescent="0.3">
      <c r="A24" s="74" t="s">
        <v>14</v>
      </c>
    </row>
    <row r="25" spans="1:48" s="154" customFormat="1" ht="12" customHeight="1" x14ac:dyDescent="0.3">
      <c r="A25" s="236" t="s">
        <v>30</v>
      </c>
      <c r="B25" s="238"/>
      <c r="C25" s="238"/>
      <c r="D25" s="238"/>
      <c r="E25" s="157"/>
      <c r="F25" s="157"/>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row>
    <row r="26" spans="1:48" ht="12" customHeight="1" x14ac:dyDescent="0.3">
      <c r="A26" s="75" t="s">
        <v>231</v>
      </c>
      <c r="B26" s="76">
        <v>774682</v>
      </c>
      <c r="C26" s="76">
        <v>774310</v>
      </c>
      <c r="D26" s="76">
        <v>774310</v>
      </c>
      <c r="E26" s="76">
        <v>757427</v>
      </c>
      <c r="F26" s="76">
        <v>692812</v>
      </c>
      <c r="G26" s="64" t="s">
        <v>362</v>
      </c>
    </row>
    <row r="27" spans="1:48" ht="12" customHeight="1" x14ac:dyDescent="0.3">
      <c r="A27" s="75" t="s">
        <v>233</v>
      </c>
      <c r="B27" s="76">
        <v>14000</v>
      </c>
      <c r="C27" s="76">
        <v>14788</v>
      </c>
      <c r="D27" s="76">
        <v>14788</v>
      </c>
      <c r="E27" s="76">
        <v>15000</v>
      </c>
      <c r="F27" s="76">
        <v>11804</v>
      </c>
    </row>
    <row r="28" spans="1:48" ht="12" customHeight="1" x14ac:dyDescent="0.3">
      <c r="A28" s="75" t="s">
        <v>234</v>
      </c>
      <c r="B28" s="76">
        <v>5000</v>
      </c>
      <c r="C28" s="76">
        <v>5000</v>
      </c>
      <c r="D28" s="76">
        <v>5000</v>
      </c>
      <c r="E28" s="76">
        <v>5000</v>
      </c>
      <c r="F28" s="76">
        <v>737</v>
      </c>
    </row>
    <row r="29" spans="1:48" ht="13.5" customHeight="1" x14ac:dyDescent="0.3">
      <c r="A29" s="75" t="s">
        <v>314</v>
      </c>
      <c r="B29" s="64">
        <v>0</v>
      </c>
      <c r="C29" s="76">
        <v>30873</v>
      </c>
      <c r="D29" s="64">
        <v>30873</v>
      </c>
      <c r="E29" s="64">
        <v>21892</v>
      </c>
      <c r="F29" s="64">
        <v>21892</v>
      </c>
    </row>
    <row r="30" spans="1:48" ht="12" customHeight="1" x14ac:dyDescent="0.3">
      <c r="A30" s="75" t="s">
        <v>122</v>
      </c>
      <c r="B30" s="76">
        <v>11500</v>
      </c>
      <c r="C30" s="76">
        <v>12000</v>
      </c>
      <c r="D30" s="76">
        <v>12000</v>
      </c>
      <c r="E30" s="76">
        <v>11800</v>
      </c>
      <c r="F30" s="76">
        <v>10771</v>
      </c>
    </row>
    <row r="31" spans="1:48" ht="12" customHeight="1" x14ac:dyDescent="0.3">
      <c r="A31" s="75" t="s">
        <v>232</v>
      </c>
      <c r="B31" s="76">
        <v>154100</v>
      </c>
      <c r="C31" s="76">
        <v>154100</v>
      </c>
      <c r="D31" s="76">
        <v>154100</v>
      </c>
      <c r="E31" s="76">
        <v>149902</v>
      </c>
      <c r="F31" s="76">
        <v>133923</v>
      </c>
    </row>
    <row r="32" spans="1:48" ht="12" customHeight="1" x14ac:dyDescent="0.3">
      <c r="A32" s="75" t="s">
        <v>189</v>
      </c>
      <c r="B32" s="66">
        <v>241800</v>
      </c>
      <c r="C32" s="66">
        <v>213000</v>
      </c>
      <c r="D32" s="66">
        <v>213000</v>
      </c>
      <c r="E32" s="66">
        <v>224251</v>
      </c>
      <c r="F32" s="66">
        <v>135625</v>
      </c>
    </row>
    <row r="33" spans="1:48" ht="17.25" customHeight="1" x14ac:dyDescent="0.3">
      <c r="A33" s="85" t="s">
        <v>250</v>
      </c>
      <c r="B33" s="64">
        <f>SUM(B26:B32)</f>
        <v>1201082</v>
      </c>
      <c r="C33" s="64">
        <f>SUM(C26:C32)</f>
        <v>1204071</v>
      </c>
      <c r="D33" s="64">
        <f>SUM(D26:D32)</f>
        <v>1204071</v>
      </c>
      <c r="E33" s="64">
        <f>SUM(E26:E32)</f>
        <v>1185272</v>
      </c>
      <c r="F33" s="64">
        <f>SUM(F26:F32)</f>
        <v>1007564</v>
      </c>
    </row>
    <row r="34" spans="1:48" ht="12" customHeight="1" x14ac:dyDescent="0.3">
      <c r="A34" s="86" t="s">
        <v>199</v>
      </c>
      <c r="B34" s="64">
        <v>25500</v>
      </c>
      <c r="C34" s="76">
        <v>25500</v>
      </c>
      <c r="D34" s="64">
        <v>25500</v>
      </c>
      <c r="E34" s="64">
        <v>23500</v>
      </c>
      <c r="F34" s="64">
        <v>20121</v>
      </c>
    </row>
    <row r="35" spans="1:48" ht="12" customHeight="1" x14ac:dyDescent="0.3">
      <c r="A35" s="86" t="s">
        <v>256</v>
      </c>
      <c r="B35" s="64">
        <f>80+2000</f>
        <v>2080</v>
      </c>
      <c r="C35" s="76">
        <v>2080</v>
      </c>
      <c r="D35" s="64">
        <f>80+2000</f>
        <v>2080</v>
      </c>
      <c r="E35" s="64">
        <v>2731</v>
      </c>
      <c r="F35" s="64">
        <v>411</v>
      </c>
      <c r="G35" s="64" t="s">
        <v>379</v>
      </c>
    </row>
    <row r="36" spans="1:48" ht="12" customHeight="1" x14ac:dyDescent="0.3">
      <c r="A36" s="86" t="s">
        <v>200</v>
      </c>
      <c r="B36" s="64">
        <f>19500+25000</f>
        <v>44500</v>
      </c>
      <c r="C36" s="76">
        <v>44500</v>
      </c>
      <c r="D36" s="64">
        <f>19500+25000</f>
        <v>44500</v>
      </c>
      <c r="E36" s="64">
        <f>19500+25000</f>
        <v>44500</v>
      </c>
      <c r="F36" s="64">
        <v>42424</v>
      </c>
    </row>
    <row r="37" spans="1:48" ht="12" customHeight="1" x14ac:dyDescent="0.3">
      <c r="A37" s="86" t="s">
        <v>321</v>
      </c>
      <c r="B37" s="64">
        <v>3500</v>
      </c>
      <c r="C37" s="76">
        <v>3500</v>
      </c>
      <c r="D37" s="64">
        <v>3500</v>
      </c>
      <c r="E37" s="64">
        <v>0</v>
      </c>
      <c r="F37" s="64">
        <v>2042</v>
      </c>
    </row>
    <row r="38" spans="1:48" ht="12" customHeight="1" x14ac:dyDescent="0.3">
      <c r="A38" s="86" t="s">
        <v>276</v>
      </c>
      <c r="B38" s="64">
        <v>17500</v>
      </c>
      <c r="C38" s="76">
        <v>17704</v>
      </c>
      <c r="D38" s="64">
        <f>20000-2000</f>
        <v>18000</v>
      </c>
      <c r="E38" s="64">
        <v>15000</v>
      </c>
      <c r="F38" s="64">
        <v>19179</v>
      </c>
      <c r="G38" s="64" t="s">
        <v>15</v>
      </c>
    </row>
    <row r="39" spans="1:48" ht="12" customHeight="1" x14ac:dyDescent="0.3">
      <c r="A39" s="86" t="s">
        <v>226</v>
      </c>
      <c r="B39" s="64">
        <v>10000</v>
      </c>
      <c r="C39" s="76">
        <v>10000</v>
      </c>
      <c r="D39" s="64">
        <v>10000</v>
      </c>
      <c r="E39" s="64">
        <v>7000</v>
      </c>
      <c r="F39" s="64">
        <v>7171</v>
      </c>
      <c r="G39" s="64" t="s">
        <v>15</v>
      </c>
    </row>
    <row r="40" spans="1:48" ht="12" customHeight="1" x14ac:dyDescent="0.3">
      <c r="A40" s="86" t="s">
        <v>205</v>
      </c>
      <c r="B40" s="66">
        <v>1000</v>
      </c>
      <c r="C40" s="66">
        <v>1000</v>
      </c>
      <c r="D40" s="66">
        <v>1000</v>
      </c>
      <c r="E40" s="66">
        <v>1000</v>
      </c>
      <c r="F40" s="66">
        <v>311</v>
      </c>
    </row>
    <row r="41" spans="1:48" s="46" customFormat="1" ht="12" customHeight="1" x14ac:dyDescent="0.3">
      <c r="A41" s="74" t="s">
        <v>31</v>
      </c>
      <c r="B41" s="87">
        <f>SUM(B33:B40)</f>
        <v>1305162</v>
      </c>
      <c r="C41" s="87">
        <f>SUM(C33:C40)</f>
        <v>1308355</v>
      </c>
      <c r="D41" s="87">
        <f>SUM(D33:D40)</f>
        <v>1308651</v>
      </c>
      <c r="E41" s="87">
        <f>SUM(E33:E40)</f>
        <v>1279003</v>
      </c>
      <c r="F41" s="87">
        <f>SUM(F33:F40)</f>
        <v>1099223</v>
      </c>
    </row>
    <row r="42" spans="1:48" s="46" customFormat="1" ht="6.75" customHeight="1" x14ac:dyDescent="0.3">
      <c r="A42" s="74" t="s">
        <v>15</v>
      </c>
      <c r="B42" s="87"/>
      <c r="C42" s="87"/>
      <c r="D42" s="87"/>
      <c r="E42" s="87"/>
      <c r="F42" s="87"/>
    </row>
    <row r="43" spans="1:48" s="155" customFormat="1" ht="12" customHeight="1" x14ac:dyDescent="0.3">
      <c r="A43" s="239" t="s">
        <v>35</v>
      </c>
      <c r="B43" s="240"/>
      <c r="C43" s="240"/>
      <c r="D43" s="240"/>
      <c r="E43" s="158"/>
      <c r="F43" s="158"/>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row>
    <row r="44" spans="1:48" s="46" customFormat="1" ht="12" customHeight="1" x14ac:dyDescent="0.3">
      <c r="A44" s="75" t="s">
        <v>1</v>
      </c>
      <c r="B44" s="76">
        <v>68356</v>
      </c>
      <c r="C44" s="76">
        <v>42383</v>
      </c>
      <c r="D44" s="76">
        <v>42383</v>
      </c>
      <c r="E44" s="76">
        <v>74783</v>
      </c>
      <c r="F44" s="76">
        <v>73195</v>
      </c>
      <c r="G44" s="64" t="s">
        <v>434</v>
      </c>
    </row>
    <row r="45" spans="1:48" s="46" customFormat="1" ht="12" customHeight="1" x14ac:dyDescent="0.3">
      <c r="A45" s="75" t="s">
        <v>122</v>
      </c>
      <c r="B45" s="76">
        <v>1060</v>
      </c>
      <c r="C45" s="76">
        <v>615</v>
      </c>
      <c r="D45" s="76">
        <v>615</v>
      </c>
      <c r="E45" s="76">
        <v>1059</v>
      </c>
      <c r="F45" s="76">
        <v>1046</v>
      </c>
    </row>
    <row r="46" spans="1:48" s="46" customFormat="1" ht="12" customHeight="1" x14ac:dyDescent="0.3">
      <c r="A46" s="75" t="s">
        <v>232</v>
      </c>
      <c r="B46" s="76">
        <v>14600</v>
      </c>
      <c r="C46" s="76">
        <v>11600</v>
      </c>
      <c r="D46" s="76">
        <v>11600</v>
      </c>
      <c r="E46" s="76">
        <v>14171</v>
      </c>
      <c r="F46" s="76">
        <v>13524</v>
      </c>
    </row>
    <row r="47" spans="1:48" s="46" customFormat="1" ht="12" customHeight="1" x14ac:dyDescent="0.3">
      <c r="A47" s="75" t="s">
        <v>189</v>
      </c>
      <c r="B47" s="66">
        <v>25000</v>
      </c>
      <c r="C47" s="66">
        <v>11213</v>
      </c>
      <c r="D47" s="66">
        <v>11213</v>
      </c>
      <c r="E47" s="66">
        <v>19435</v>
      </c>
      <c r="F47" s="66">
        <v>10048</v>
      </c>
    </row>
    <row r="48" spans="1:48" ht="12" customHeight="1" x14ac:dyDescent="0.3">
      <c r="A48" s="85" t="s">
        <v>139</v>
      </c>
      <c r="B48" s="64">
        <f>SUM(B44:B47)</f>
        <v>109016</v>
      </c>
      <c r="C48" s="64">
        <f>SUM(C44:C47)</f>
        <v>65811</v>
      </c>
      <c r="D48" s="64">
        <f>SUM(D44:D47)</f>
        <v>65811</v>
      </c>
      <c r="E48" s="64">
        <f>SUM(E44:E47)</f>
        <v>109448</v>
      </c>
      <c r="F48" s="64">
        <f>SUM(F44:F47)</f>
        <v>97813</v>
      </c>
    </row>
    <row r="49" spans="1:48" ht="12" customHeight="1" x14ac:dyDescent="0.3">
      <c r="A49" s="85" t="s">
        <v>196</v>
      </c>
      <c r="B49" s="64">
        <v>8333</v>
      </c>
      <c r="C49" s="76">
        <v>8333</v>
      </c>
      <c r="D49" s="64">
        <v>8333</v>
      </c>
      <c r="E49" s="64">
        <v>8333</v>
      </c>
      <c r="F49" s="64">
        <v>3879</v>
      </c>
    </row>
    <row r="50" spans="1:48" ht="12" customHeight="1" x14ac:dyDescent="0.3">
      <c r="A50" s="85" t="s">
        <v>360</v>
      </c>
      <c r="B50" s="64">
        <v>296</v>
      </c>
      <c r="C50" s="76">
        <v>296</v>
      </c>
      <c r="D50" s="64">
        <v>0</v>
      </c>
      <c r="G50" s="64" t="s">
        <v>380</v>
      </c>
    </row>
    <row r="51" spans="1:48" ht="12" customHeight="1" x14ac:dyDescent="0.3">
      <c r="A51" s="85" t="s">
        <v>243</v>
      </c>
      <c r="B51" s="64">
        <v>5000</v>
      </c>
      <c r="C51" s="76">
        <v>5000</v>
      </c>
      <c r="D51" s="64">
        <v>5000</v>
      </c>
      <c r="E51" s="64">
        <v>5000</v>
      </c>
      <c r="F51" s="64">
        <v>4817</v>
      </c>
      <c r="G51" s="64" t="s">
        <v>454</v>
      </c>
    </row>
    <row r="52" spans="1:48" ht="12" customHeight="1" x14ac:dyDescent="0.3">
      <c r="A52" s="89" t="s">
        <v>279</v>
      </c>
      <c r="B52" s="66">
        <v>5000</v>
      </c>
      <c r="C52" s="66">
        <v>5000</v>
      </c>
      <c r="D52" s="66">
        <v>5000</v>
      </c>
      <c r="E52" s="66">
        <v>5000</v>
      </c>
      <c r="F52" s="66">
        <v>5654</v>
      </c>
    </row>
    <row r="53" spans="1:48" s="46" customFormat="1" ht="12" customHeight="1" x14ac:dyDescent="0.3">
      <c r="A53" s="74" t="s">
        <v>36</v>
      </c>
      <c r="B53" s="46">
        <f>SUM(B48:B52)</f>
        <v>127645</v>
      </c>
      <c r="C53" s="46">
        <f>SUM(C48:C52)</f>
        <v>84440</v>
      </c>
      <c r="D53" s="46">
        <f>SUM(D48:D52)</f>
        <v>84144</v>
      </c>
      <c r="E53" s="46">
        <f>SUM(E48:E52)</f>
        <v>127781</v>
      </c>
      <c r="F53" s="46">
        <f>SUM(F48:F52)</f>
        <v>112163</v>
      </c>
    </row>
    <row r="54" spans="1:48" ht="7.5" customHeight="1" x14ac:dyDescent="0.3"/>
    <row r="55" spans="1:48" s="155" customFormat="1" ht="12" customHeight="1" x14ac:dyDescent="0.3">
      <c r="A55" s="236" t="s">
        <v>37</v>
      </c>
      <c r="B55" s="240"/>
      <c r="C55" s="240"/>
      <c r="D55" s="240"/>
      <c r="E55" s="158"/>
      <c r="F55" s="158"/>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row>
    <row r="56" spans="1:48" s="46" customFormat="1" ht="12" customHeight="1" x14ac:dyDescent="0.3">
      <c r="A56" s="75" t="s">
        <v>1</v>
      </c>
      <c r="B56" s="76">
        <v>15000</v>
      </c>
      <c r="C56" s="76">
        <v>33000</v>
      </c>
      <c r="D56" s="76">
        <v>33000</v>
      </c>
      <c r="E56" s="76">
        <v>8500</v>
      </c>
      <c r="F56" s="76">
        <v>28836</v>
      </c>
      <c r="G56" s="64" t="s">
        <v>435</v>
      </c>
    </row>
    <row r="57" spans="1:48" s="46" customFormat="1" ht="12" customHeight="1" x14ac:dyDescent="0.3">
      <c r="A57" s="75" t="s">
        <v>122</v>
      </c>
      <c r="B57" s="76">
        <v>0</v>
      </c>
      <c r="C57" s="76">
        <v>480</v>
      </c>
      <c r="D57" s="76">
        <v>480</v>
      </c>
      <c r="E57" s="76">
        <v>123</v>
      </c>
      <c r="F57" s="76">
        <v>388</v>
      </c>
    </row>
    <row r="58" spans="1:48" s="46" customFormat="1" ht="12" customHeight="1" x14ac:dyDescent="0.3">
      <c r="A58" s="75" t="s">
        <v>232</v>
      </c>
      <c r="B58" s="76">
        <f>'17-18 wo cmo'!F29</f>
        <v>0</v>
      </c>
      <c r="C58" s="76">
        <v>6402</v>
      </c>
      <c r="D58" s="76">
        <v>6402</v>
      </c>
      <c r="E58" s="76">
        <v>1649</v>
      </c>
      <c r="F58" s="76">
        <v>5540</v>
      </c>
    </row>
    <row r="59" spans="1:48" s="46" customFormat="1" ht="12" customHeight="1" x14ac:dyDescent="0.3">
      <c r="A59" s="75" t="s">
        <v>189</v>
      </c>
      <c r="B59" s="66">
        <f>'17-18 wo cmo'!F30</f>
        <v>0</v>
      </c>
      <c r="C59" s="66">
        <v>7000</v>
      </c>
      <c r="D59" s="66">
        <v>7000</v>
      </c>
      <c r="E59" s="66">
        <v>0</v>
      </c>
      <c r="F59" s="66">
        <v>2898</v>
      </c>
    </row>
    <row r="60" spans="1:48" ht="12" customHeight="1" x14ac:dyDescent="0.3">
      <c r="A60" s="85" t="s">
        <v>139</v>
      </c>
      <c r="B60" s="46">
        <f>SUM(B56:B59)</f>
        <v>15000</v>
      </c>
      <c r="C60" s="46">
        <f>SUM(C56:C59)</f>
        <v>46882</v>
      </c>
      <c r="D60" s="46">
        <f>SUM(D56:D59)</f>
        <v>46882</v>
      </c>
      <c r="E60" s="46">
        <f>SUM(E56:E59)</f>
        <v>10272</v>
      </c>
      <c r="F60" s="64">
        <v>37663</v>
      </c>
    </row>
    <row r="61" spans="1:48" ht="12" customHeight="1" x14ac:dyDescent="0.3">
      <c r="A61" s="85" t="s">
        <v>38</v>
      </c>
      <c r="B61" s="64">
        <v>15000</v>
      </c>
      <c r="C61" s="76">
        <v>20000</v>
      </c>
      <c r="D61" s="64">
        <v>20000</v>
      </c>
      <c r="E61" s="64">
        <v>20000</v>
      </c>
      <c r="F61" s="64">
        <v>204</v>
      </c>
      <c r="G61" s="64" t="s">
        <v>292</v>
      </c>
    </row>
    <row r="62" spans="1:48" ht="12" customHeight="1" x14ac:dyDescent="0.3">
      <c r="A62" s="85" t="s">
        <v>206</v>
      </c>
      <c r="B62" s="66">
        <v>5000</v>
      </c>
      <c r="C62" s="66">
        <v>12517</v>
      </c>
      <c r="D62" s="66">
        <f>5000+5500+2017</f>
        <v>12517</v>
      </c>
      <c r="E62" s="66">
        <v>5000</v>
      </c>
      <c r="F62" s="66">
        <v>3211</v>
      </c>
      <c r="G62" s="64" t="s">
        <v>15</v>
      </c>
    </row>
    <row r="63" spans="1:48" s="46" customFormat="1" ht="12" customHeight="1" x14ac:dyDescent="0.3">
      <c r="A63" s="74" t="s">
        <v>56</v>
      </c>
      <c r="B63" s="46">
        <f>SUM(B60:B62)</f>
        <v>35000</v>
      </c>
      <c r="C63" s="46">
        <f>SUM(C60:C62)</f>
        <v>79399</v>
      </c>
      <c r="D63" s="46">
        <f>SUM(D60:D62)</f>
        <v>79399</v>
      </c>
      <c r="E63" s="46">
        <f>SUM(E60:E62)</f>
        <v>35272</v>
      </c>
      <c r="F63" s="46">
        <f>SUM(F60:F62)</f>
        <v>41078</v>
      </c>
      <c r="G63" s="46" t="s">
        <v>372</v>
      </c>
    </row>
    <row r="64" spans="1:48" ht="8.25" customHeight="1" x14ac:dyDescent="0.3">
      <c r="B64" s="76"/>
      <c r="C64" s="76"/>
      <c r="D64" s="76"/>
      <c r="E64" s="76"/>
      <c r="F64" s="76"/>
    </row>
    <row r="65" spans="1:48" s="155" customFormat="1" ht="12" customHeight="1" x14ac:dyDescent="0.3">
      <c r="A65" s="236" t="s">
        <v>40</v>
      </c>
      <c r="B65" s="240"/>
      <c r="C65" s="240"/>
      <c r="D65" s="240"/>
      <c r="E65" s="158"/>
      <c r="F65" s="158"/>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row>
    <row r="66" spans="1:48" ht="13.5" customHeight="1" x14ac:dyDescent="0.3">
      <c r="A66" s="90" t="s">
        <v>164</v>
      </c>
      <c r="B66" s="64">
        <v>43596</v>
      </c>
      <c r="C66" s="76">
        <v>41295</v>
      </c>
      <c r="D66" s="64">
        <v>41295</v>
      </c>
      <c r="E66" s="64">
        <v>43186</v>
      </c>
      <c r="F66" s="64">
        <v>48336</v>
      </c>
    </row>
    <row r="67" spans="1:48" ht="13.5" customHeight="1" x14ac:dyDescent="0.3">
      <c r="A67" s="90" t="s">
        <v>101</v>
      </c>
      <c r="B67" s="64">
        <v>118084</v>
      </c>
      <c r="C67" s="76">
        <v>116008</v>
      </c>
      <c r="D67" s="64">
        <v>115470</v>
      </c>
      <c r="E67" s="64">
        <v>113675</v>
      </c>
      <c r="F67" s="64">
        <v>107413</v>
      </c>
    </row>
    <row r="68" spans="1:48" ht="13.5" customHeight="1" x14ac:dyDescent="0.3">
      <c r="A68" s="90" t="s">
        <v>270</v>
      </c>
      <c r="B68" s="64">
        <v>3000</v>
      </c>
      <c r="C68" s="76">
        <v>3000</v>
      </c>
      <c r="D68" s="64">
        <v>3000</v>
      </c>
      <c r="E68" s="64">
        <v>3000</v>
      </c>
      <c r="F68" s="64">
        <v>3242</v>
      </c>
    </row>
    <row r="69" spans="1:48" ht="13.5" customHeight="1" x14ac:dyDescent="0.3">
      <c r="A69" s="90" t="s">
        <v>287</v>
      </c>
      <c r="B69" s="64">
        <v>3000</v>
      </c>
      <c r="C69" s="76">
        <v>2100</v>
      </c>
      <c r="D69" s="64">
        <v>2000</v>
      </c>
      <c r="E69" s="64">
        <v>915</v>
      </c>
      <c r="G69" s="64" t="s">
        <v>363</v>
      </c>
    </row>
    <row r="70" spans="1:48" ht="13.5" customHeight="1" x14ac:dyDescent="0.3">
      <c r="A70" s="90" t="s">
        <v>414</v>
      </c>
      <c r="B70" s="64">
        <v>0</v>
      </c>
      <c r="C70" s="76">
        <v>363</v>
      </c>
    </row>
    <row r="71" spans="1:48" ht="13.5" customHeight="1" x14ac:dyDescent="0.3">
      <c r="A71" s="90" t="s">
        <v>286</v>
      </c>
      <c r="B71" s="64">
        <v>1000</v>
      </c>
      <c r="C71" s="76">
        <v>3000</v>
      </c>
      <c r="D71" s="64">
        <v>3000</v>
      </c>
      <c r="E71" s="64">
        <v>2712</v>
      </c>
      <c r="F71" s="64">
        <v>3002</v>
      </c>
    </row>
    <row r="72" spans="1:48" ht="12" customHeight="1" x14ac:dyDescent="0.3">
      <c r="A72" s="75" t="s">
        <v>42</v>
      </c>
      <c r="B72" s="76">
        <v>7200</v>
      </c>
      <c r="C72" s="76">
        <v>7200</v>
      </c>
      <c r="D72" s="76">
        <v>7200</v>
      </c>
      <c r="E72" s="76">
        <v>6000</v>
      </c>
      <c r="F72" s="76">
        <v>7100</v>
      </c>
    </row>
    <row r="73" spans="1:48" ht="12" customHeight="1" x14ac:dyDescent="0.3">
      <c r="A73" s="75" t="s">
        <v>281</v>
      </c>
      <c r="B73" s="66">
        <v>76500</v>
      </c>
      <c r="C73" s="66">
        <v>75390</v>
      </c>
      <c r="D73" s="66">
        <v>75390</v>
      </c>
      <c r="E73" s="66">
        <v>75390</v>
      </c>
      <c r="F73" s="66">
        <v>66717</v>
      </c>
      <c r="G73" s="64" t="s">
        <v>15</v>
      </c>
    </row>
    <row r="74" spans="1:48" s="46" customFormat="1" ht="12" customHeight="1" x14ac:dyDescent="0.3">
      <c r="A74" s="74" t="s">
        <v>41</v>
      </c>
      <c r="B74" s="46">
        <f>SUM(B66:B73)</f>
        <v>252380</v>
      </c>
      <c r="C74" s="46">
        <f>SUM(C66:C73)</f>
        <v>248356</v>
      </c>
      <c r="D74" s="46">
        <f>SUM(D66:D73)</f>
        <v>247355</v>
      </c>
      <c r="E74" s="46">
        <f>SUM(E66:E73)</f>
        <v>244878</v>
      </c>
      <c r="F74" s="46">
        <f>SUM(F66:F73)</f>
        <v>235810</v>
      </c>
    </row>
    <row r="75" spans="1:48" s="46" customFormat="1" ht="6" customHeight="1" x14ac:dyDescent="0.3">
      <c r="A75" s="74"/>
    </row>
    <row r="76" spans="1:48" s="154" customFormat="1" ht="12" customHeight="1" x14ac:dyDescent="0.3">
      <c r="A76" s="236" t="s">
        <v>20</v>
      </c>
      <c r="B76" s="237"/>
      <c r="C76" s="237"/>
      <c r="D76" s="237"/>
      <c r="E76" s="156"/>
      <c r="F76" s="156"/>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row>
    <row r="77" spans="1:48" ht="12" customHeight="1" x14ac:dyDescent="0.3">
      <c r="A77" s="75" t="s">
        <v>1</v>
      </c>
      <c r="B77" s="64">
        <v>153319</v>
      </c>
      <c r="C77" s="76">
        <v>137980</v>
      </c>
      <c r="D77" s="64">
        <v>137980</v>
      </c>
      <c r="E77" s="64">
        <v>137980</v>
      </c>
      <c r="F77" s="64">
        <v>145751</v>
      </c>
    </row>
    <row r="78" spans="1:48" ht="12" customHeight="1" x14ac:dyDescent="0.3">
      <c r="A78" s="75" t="s">
        <v>122</v>
      </c>
      <c r="B78" s="64">
        <v>2000</v>
      </c>
      <c r="C78" s="76">
        <v>2200</v>
      </c>
      <c r="D78" s="64">
        <v>2200</v>
      </c>
      <c r="E78" s="64">
        <v>2142</v>
      </c>
      <c r="F78" s="64">
        <v>2112</v>
      </c>
    </row>
    <row r="79" spans="1:48" ht="12" customHeight="1" x14ac:dyDescent="0.3">
      <c r="A79" s="75" t="s">
        <v>232</v>
      </c>
      <c r="B79" s="64">
        <v>27500</v>
      </c>
      <c r="C79" s="76">
        <v>26768</v>
      </c>
      <c r="D79" s="64">
        <v>26768</v>
      </c>
      <c r="E79" s="64">
        <v>28652</v>
      </c>
      <c r="F79" s="64">
        <v>27310</v>
      </c>
    </row>
    <row r="80" spans="1:48" ht="12" customHeight="1" x14ac:dyDescent="0.3">
      <c r="A80" s="75" t="s">
        <v>189</v>
      </c>
      <c r="B80" s="64">
        <v>30700</v>
      </c>
      <c r="C80" s="76">
        <v>28000</v>
      </c>
      <c r="D80" s="64">
        <v>28000</v>
      </c>
      <c r="E80" s="64">
        <v>29900</v>
      </c>
      <c r="F80" s="64">
        <v>9207</v>
      </c>
    </row>
    <row r="81" spans="1:48" ht="12" customHeight="1" x14ac:dyDescent="0.3">
      <c r="A81" s="92" t="s">
        <v>271</v>
      </c>
      <c r="B81" s="66">
        <v>13000</v>
      </c>
      <c r="C81" s="66">
        <v>12125</v>
      </c>
      <c r="D81" s="66">
        <v>13045</v>
      </c>
      <c r="E81" s="66">
        <v>13045</v>
      </c>
      <c r="F81" s="66">
        <v>11045</v>
      </c>
    </row>
    <row r="82" spans="1:48" s="76" customFormat="1" ht="12" customHeight="1" x14ac:dyDescent="0.3">
      <c r="A82" s="85" t="s">
        <v>139</v>
      </c>
      <c r="B82" s="76">
        <f>SUM(B77:B81)</f>
        <v>226519</v>
      </c>
      <c r="C82" s="76">
        <f>SUM(C77:C81)</f>
        <v>207073</v>
      </c>
      <c r="D82" s="76">
        <f>SUM(D77:D81)</f>
        <v>207993</v>
      </c>
      <c r="E82" s="76">
        <f>SUM(E77:E81)</f>
        <v>211719</v>
      </c>
      <c r="F82" s="76">
        <v>195425</v>
      </c>
    </row>
    <row r="83" spans="1:48" s="76" customFormat="1" ht="12" customHeight="1" x14ac:dyDescent="0.3">
      <c r="A83" s="85" t="s">
        <v>198</v>
      </c>
      <c r="B83" s="76">
        <v>6000</v>
      </c>
      <c r="C83" s="76">
        <v>3000</v>
      </c>
      <c r="D83" s="76">
        <v>3000</v>
      </c>
      <c r="E83" s="76">
        <v>3000</v>
      </c>
      <c r="F83" s="76">
        <v>1235</v>
      </c>
    </row>
    <row r="84" spans="1:48" s="76" customFormat="1" ht="12" customHeight="1" x14ac:dyDescent="0.3">
      <c r="A84" s="85" t="s">
        <v>290</v>
      </c>
      <c r="B84" s="76">
        <v>150</v>
      </c>
      <c r="C84" s="76">
        <v>150</v>
      </c>
      <c r="D84" s="76">
        <v>150</v>
      </c>
      <c r="E84" s="76">
        <v>150</v>
      </c>
      <c r="F84" s="76">
        <v>78</v>
      </c>
    </row>
    <row r="85" spans="1:48" s="76" customFormat="1" ht="12" customHeight="1" x14ac:dyDescent="0.3">
      <c r="A85" s="85" t="s">
        <v>277</v>
      </c>
      <c r="B85" s="76">
        <v>5000</v>
      </c>
      <c r="C85" s="76">
        <v>5000</v>
      </c>
      <c r="D85" s="76">
        <v>5000</v>
      </c>
      <c r="E85" s="76">
        <v>3700</v>
      </c>
      <c r="F85" s="76">
        <v>0</v>
      </c>
    </row>
    <row r="86" spans="1:48" ht="12" customHeight="1" x14ac:dyDescent="0.3">
      <c r="A86" s="75" t="s">
        <v>45</v>
      </c>
      <c r="B86" s="66">
        <v>500</v>
      </c>
      <c r="C86" s="66">
        <v>500</v>
      </c>
      <c r="D86" s="66">
        <v>500</v>
      </c>
      <c r="E86" s="66">
        <v>500</v>
      </c>
      <c r="F86" s="66">
        <v>632</v>
      </c>
    </row>
    <row r="87" spans="1:48" s="46" customFormat="1" ht="12" customHeight="1" x14ac:dyDescent="0.3">
      <c r="A87" s="74" t="s">
        <v>21</v>
      </c>
      <c r="B87" s="46">
        <f>SUM(B82:B86)</f>
        <v>238169</v>
      </c>
      <c r="C87" s="46">
        <f>SUM(C82:C86)</f>
        <v>215723</v>
      </c>
      <c r="D87" s="46">
        <f>SUM(D82:D86)</f>
        <v>216643</v>
      </c>
      <c r="E87" s="46">
        <f>SUM(E82:E86)</f>
        <v>219069</v>
      </c>
      <c r="F87" s="46">
        <f>SUM(F82:F86)</f>
        <v>197370</v>
      </c>
    </row>
    <row r="88" spans="1:48" s="46" customFormat="1" ht="8.25" customHeight="1" x14ac:dyDescent="0.3">
      <c r="A88" s="74"/>
    </row>
    <row r="89" spans="1:48" s="154" customFormat="1" ht="12" customHeight="1" x14ac:dyDescent="0.3">
      <c r="A89" s="236" t="s">
        <v>51</v>
      </c>
      <c r="B89" s="237"/>
      <c r="C89" s="237"/>
      <c r="D89" s="237"/>
      <c r="E89" s="156"/>
      <c r="F89" s="156"/>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row>
    <row r="90" spans="1:48" ht="15.75" customHeight="1" x14ac:dyDescent="0.3">
      <c r="A90" s="85" t="s">
        <v>94</v>
      </c>
      <c r="B90" s="118">
        <v>38142</v>
      </c>
      <c r="C90" s="76">
        <v>35694</v>
      </c>
      <c r="D90" s="118">
        <v>35694</v>
      </c>
      <c r="E90" s="118">
        <v>34542</v>
      </c>
      <c r="F90" s="118">
        <v>31939</v>
      </c>
    </row>
    <row r="91" spans="1:48" ht="13.5" customHeight="1" x14ac:dyDescent="0.3">
      <c r="A91" s="75" t="s">
        <v>0</v>
      </c>
      <c r="B91" s="82">
        <v>200</v>
      </c>
      <c r="C91" s="76">
        <v>200</v>
      </c>
      <c r="D91" s="82">
        <v>200</v>
      </c>
      <c r="E91" s="82">
        <v>200</v>
      </c>
      <c r="F91" s="82">
        <v>135</v>
      </c>
    </row>
    <row r="92" spans="1:48" s="76" customFormat="1" ht="12" customHeight="1" x14ac:dyDescent="0.3">
      <c r="A92" s="91" t="s">
        <v>71</v>
      </c>
      <c r="B92" s="77">
        <v>100</v>
      </c>
      <c r="C92" s="76">
        <v>100</v>
      </c>
      <c r="D92" s="77">
        <v>100</v>
      </c>
      <c r="E92" s="77">
        <v>100</v>
      </c>
      <c r="F92" s="77">
        <v>112</v>
      </c>
    </row>
    <row r="93" spans="1:48" ht="12" customHeight="1" x14ac:dyDescent="0.3">
      <c r="A93" s="75" t="s">
        <v>44</v>
      </c>
      <c r="B93" s="81">
        <v>500</v>
      </c>
      <c r="C93" s="66">
        <v>500</v>
      </c>
      <c r="D93" s="81">
        <v>2000</v>
      </c>
      <c r="E93" s="81">
        <v>2000</v>
      </c>
      <c r="F93" s="81">
        <v>2198</v>
      </c>
    </row>
    <row r="94" spans="1:48" ht="12" customHeight="1" x14ac:dyDescent="0.3">
      <c r="A94" s="74" t="s">
        <v>32</v>
      </c>
      <c r="B94" s="46">
        <f>SUM(B90:B93)</f>
        <v>38942</v>
      </c>
      <c r="C94" s="46">
        <f>SUM(C90:C93)</f>
        <v>36494</v>
      </c>
      <c r="D94" s="46">
        <f>SUM(D90:D93)</f>
        <v>37994</v>
      </c>
      <c r="E94" s="46">
        <f>SUM(E90:E93)</f>
        <v>36842</v>
      </c>
      <c r="F94" s="46">
        <f>SUM(F90:F93)</f>
        <v>34384</v>
      </c>
    </row>
    <row r="95" spans="1:48" s="46" customFormat="1" ht="6.75" customHeight="1" x14ac:dyDescent="0.3">
      <c r="A95" s="75"/>
      <c r="B95" s="64"/>
      <c r="C95" s="64"/>
      <c r="D95" s="64"/>
      <c r="E95" s="64"/>
      <c r="F95" s="64"/>
    </row>
    <row r="96" spans="1:48" s="154" customFormat="1" ht="12" customHeight="1" x14ac:dyDescent="0.3">
      <c r="A96" s="236" t="s">
        <v>52</v>
      </c>
      <c r="B96" s="237"/>
      <c r="C96" s="237"/>
      <c r="D96" s="237"/>
      <c r="E96" s="156"/>
      <c r="F96" s="156"/>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row>
    <row r="97" spans="1:48" ht="15" customHeight="1" x14ac:dyDescent="0.3">
      <c r="A97" s="85" t="s">
        <v>207</v>
      </c>
      <c r="B97" s="64">
        <v>35859</v>
      </c>
      <c r="C97" s="76">
        <v>34191</v>
      </c>
      <c r="D97" s="64">
        <v>34191</v>
      </c>
      <c r="E97" s="64">
        <v>27241</v>
      </c>
      <c r="F97" s="64">
        <v>26155</v>
      </c>
    </row>
    <row r="98" spans="1:48" s="76" customFormat="1" ht="12" customHeight="1" x14ac:dyDescent="0.3">
      <c r="A98" s="85" t="s">
        <v>154</v>
      </c>
      <c r="B98" s="77">
        <v>39000</v>
      </c>
      <c r="C98" s="76">
        <v>39000</v>
      </c>
      <c r="D98" s="77">
        <v>39000</v>
      </c>
      <c r="E98" s="77">
        <v>35000</v>
      </c>
      <c r="F98" s="77">
        <v>31754</v>
      </c>
    </row>
    <row r="99" spans="1:48" s="76" customFormat="1" ht="12" customHeight="1" x14ac:dyDescent="0.3">
      <c r="A99" s="92" t="s">
        <v>10</v>
      </c>
      <c r="B99" s="77">
        <v>1500</v>
      </c>
      <c r="C99" s="76">
        <v>1500</v>
      </c>
      <c r="D99" s="77">
        <v>1500</v>
      </c>
      <c r="E99" s="77">
        <v>1500</v>
      </c>
      <c r="F99" s="77">
        <v>2055</v>
      </c>
    </row>
    <row r="100" spans="1:48" ht="12" customHeight="1" x14ac:dyDescent="0.3">
      <c r="A100" s="75" t="s">
        <v>8</v>
      </c>
      <c r="B100" s="82">
        <v>4500</v>
      </c>
      <c r="C100" s="76">
        <v>4500</v>
      </c>
      <c r="D100" s="82">
        <v>4500</v>
      </c>
      <c r="E100" s="82">
        <v>3800</v>
      </c>
      <c r="F100" s="82">
        <v>3145</v>
      </c>
    </row>
    <row r="101" spans="1:48" ht="12" customHeight="1" x14ac:dyDescent="0.3">
      <c r="A101" s="75" t="s">
        <v>46</v>
      </c>
      <c r="B101" s="82">
        <v>10000</v>
      </c>
      <c r="C101" s="76">
        <v>10000</v>
      </c>
      <c r="D101" s="82">
        <v>10000</v>
      </c>
      <c r="E101" s="82">
        <v>20000</v>
      </c>
      <c r="F101" s="82">
        <v>29155</v>
      </c>
    </row>
    <row r="102" spans="1:48" ht="12" customHeight="1" x14ac:dyDescent="0.3">
      <c r="A102" s="75" t="s">
        <v>66</v>
      </c>
      <c r="B102" s="77">
        <v>8000</v>
      </c>
      <c r="C102" s="76">
        <v>8000</v>
      </c>
      <c r="D102" s="77">
        <v>8000</v>
      </c>
      <c r="E102" s="77">
        <v>8000</v>
      </c>
      <c r="F102" s="77">
        <v>4852</v>
      </c>
    </row>
    <row r="103" spans="1:48" ht="12" customHeight="1" x14ac:dyDescent="0.3">
      <c r="A103" s="75" t="s">
        <v>65</v>
      </c>
      <c r="B103" s="77">
        <v>40000</v>
      </c>
      <c r="C103" s="76">
        <v>40000</v>
      </c>
      <c r="D103" s="77">
        <v>40000</v>
      </c>
      <c r="E103" s="77">
        <v>15000</v>
      </c>
      <c r="F103" s="77">
        <v>28000</v>
      </c>
    </row>
    <row r="104" spans="1:48" ht="12" customHeight="1" x14ac:dyDescent="0.3">
      <c r="A104" s="75" t="s">
        <v>9</v>
      </c>
      <c r="B104" s="81">
        <v>39000</v>
      </c>
      <c r="C104" s="66">
        <v>39000</v>
      </c>
      <c r="D104" s="81">
        <v>39000</v>
      </c>
      <c r="E104" s="81">
        <v>46000</v>
      </c>
      <c r="F104" s="81">
        <v>29029</v>
      </c>
    </row>
    <row r="105" spans="1:48" ht="12" customHeight="1" x14ac:dyDescent="0.3">
      <c r="A105" s="74" t="s">
        <v>33</v>
      </c>
      <c r="B105" s="46">
        <f>SUM(B97:B104)</f>
        <v>177859</v>
      </c>
      <c r="C105" s="46">
        <f>SUM(C97:C104)</f>
        <v>176191</v>
      </c>
      <c r="D105" s="46">
        <f>SUM(D97:D104)</f>
        <v>176191</v>
      </c>
      <c r="E105" s="46">
        <f>SUM(E97:E104)</f>
        <v>156541</v>
      </c>
      <c r="F105" s="46">
        <f>SUM(F97:F104)</f>
        <v>154145</v>
      </c>
    </row>
    <row r="106" spans="1:48" ht="9.75" customHeight="1" x14ac:dyDescent="0.3"/>
    <row r="107" spans="1:48" s="57" customFormat="1" ht="12" customHeight="1" x14ac:dyDescent="0.3">
      <c r="A107" s="241" t="s">
        <v>236</v>
      </c>
      <c r="B107" s="242"/>
      <c r="C107" s="242"/>
      <c r="D107" s="242"/>
      <c r="E107" s="160"/>
      <c r="F107" s="160"/>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row>
    <row r="108" spans="1:48" ht="12" customHeight="1" x14ac:dyDescent="0.3">
      <c r="A108" s="75" t="s">
        <v>139</v>
      </c>
      <c r="B108" s="64">
        <v>15000</v>
      </c>
      <c r="C108" s="76">
        <v>16262</v>
      </c>
      <c r="D108" s="64">
        <v>15000</v>
      </c>
      <c r="E108" s="64">
        <v>15000</v>
      </c>
      <c r="F108" s="64">
        <v>2138</v>
      </c>
    </row>
    <row r="109" spans="1:48" ht="12" customHeight="1" x14ac:dyDescent="0.3">
      <c r="A109" s="75" t="s">
        <v>240</v>
      </c>
      <c r="B109" s="64">
        <v>0</v>
      </c>
      <c r="C109" s="76">
        <v>0</v>
      </c>
      <c r="D109" s="64">
        <v>0</v>
      </c>
      <c r="E109" s="64">
        <v>0</v>
      </c>
      <c r="F109" s="64">
        <v>220</v>
      </c>
    </row>
    <row r="110" spans="1:48" ht="12" customHeight="1" x14ac:dyDescent="0.3">
      <c r="A110" s="75" t="s">
        <v>241</v>
      </c>
      <c r="B110" s="66">
        <v>0</v>
      </c>
      <c r="C110" s="66">
        <v>0</v>
      </c>
      <c r="D110" s="66">
        <v>0</v>
      </c>
      <c r="E110" s="66">
        <v>0</v>
      </c>
      <c r="F110" s="66">
        <v>0</v>
      </c>
    </row>
    <row r="111" spans="1:48" s="57" customFormat="1" ht="12" customHeight="1" x14ac:dyDescent="0.3">
      <c r="A111" s="60" t="s">
        <v>239</v>
      </c>
      <c r="B111" s="51">
        <f>SUM(B108:B110)</f>
        <v>15000</v>
      </c>
      <c r="C111" s="51">
        <f>SUM(C108:C110)</f>
        <v>16262</v>
      </c>
      <c r="D111" s="51">
        <f>SUM(D108:D110)</f>
        <v>15000</v>
      </c>
      <c r="E111" s="51">
        <f>SUM(E108:E110)</f>
        <v>15000</v>
      </c>
      <c r="F111" s="51">
        <f>SUM(F108:F110)</f>
        <v>2358</v>
      </c>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row>
    <row r="112" spans="1:48" ht="6.75" customHeight="1" x14ac:dyDescent="0.3"/>
    <row r="113" spans="1:48" s="154" customFormat="1" ht="14.4" x14ac:dyDescent="0.3">
      <c r="A113" s="236" t="s">
        <v>53</v>
      </c>
      <c r="B113" s="237"/>
      <c r="C113" s="237"/>
      <c r="D113" s="237"/>
      <c r="E113" s="156"/>
      <c r="F113" s="156"/>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row>
    <row r="114" spans="1:48" ht="12" customHeight="1" x14ac:dyDescent="0.3">
      <c r="A114" s="85" t="s">
        <v>139</v>
      </c>
      <c r="B114" s="64">
        <v>44280</v>
      </c>
      <c r="C114" s="76">
        <v>44280</v>
      </c>
      <c r="D114" s="64">
        <f>'17-18 wo cmo'!F97</f>
        <v>0</v>
      </c>
      <c r="E114" s="64">
        <v>44280</v>
      </c>
      <c r="F114" s="64">
        <v>39406</v>
      </c>
    </row>
    <row r="115" spans="1:48" ht="12" customHeight="1" x14ac:dyDescent="0.3">
      <c r="A115" s="86" t="s">
        <v>257</v>
      </c>
      <c r="B115" s="64">
        <v>15000</v>
      </c>
      <c r="C115" s="76">
        <v>15000</v>
      </c>
      <c r="D115" s="64">
        <v>15000</v>
      </c>
      <c r="E115" s="64">
        <v>30000</v>
      </c>
    </row>
    <row r="116" spans="1:48" ht="12" customHeight="1" x14ac:dyDescent="0.3">
      <c r="A116" s="75" t="s">
        <v>47</v>
      </c>
      <c r="B116" s="77">
        <v>7426</v>
      </c>
      <c r="C116" s="76">
        <v>7426</v>
      </c>
      <c r="D116" s="77">
        <v>7426</v>
      </c>
      <c r="E116" s="77">
        <v>6000</v>
      </c>
      <c r="F116" s="77">
        <v>12053</v>
      </c>
    </row>
    <row r="117" spans="1:48" ht="12" customHeight="1" x14ac:dyDescent="0.3">
      <c r="A117" s="75" t="s">
        <v>11</v>
      </c>
      <c r="B117" s="66">
        <v>15000</v>
      </c>
      <c r="C117" s="66">
        <v>15000</v>
      </c>
      <c r="D117" s="66">
        <v>15000</v>
      </c>
      <c r="E117" s="66">
        <v>23000</v>
      </c>
      <c r="F117" s="66">
        <v>8984</v>
      </c>
    </row>
    <row r="118" spans="1:48" ht="12" customHeight="1" x14ac:dyDescent="0.3">
      <c r="A118" s="74" t="s">
        <v>34</v>
      </c>
      <c r="B118" s="87">
        <f>SUM(B114:B117)</f>
        <v>81706</v>
      </c>
      <c r="C118" s="87">
        <f>SUM(C114:C117)</f>
        <v>81706</v>
      </c>
      <c r="D118" s="87">
        <f>SUM(D114:D117)</f>
        <v>37426</v>
      </c>
      <c r="E118" s="87">
        <f>SUM(E114:E117)</f>
        <v>103280</v>
      </c>
      <c r="F118" s="87">
        <f>SUM(F114:F117)</f>
        <v>60443</v>
      </c>
    </row>
    <row r="119" spans="1:48" s="46" customFormat="1" ht="15.75" customHeight="1" x14ac:dyDescent="0.3">
      <c r="A119" s="75"/>
      <c r="B119" s="76"/>
      <c r="C119" s="76"/>
      <c r="D119" s="76"/>
      <c r="E119" s="76"/>
      <c r="F119" s="76"/>
    </row>
    <row r="120" spans="1:48" s="154" customFormat="1" ht="12" customHeight="1" x14ac:dyDescent="0.3">
      <c r="A120" s="236" t="s">
        <v>145</v>
      </c>
      <c r="B120" s="243">
        <v>237036</v>
      </c>
      <c r="C120" s="244">
        <v>225751</v>
      </c>
      <c r="D120" s="243">
        <v>230000</v>
      </c>
      <c r="E120" s="174">
        <v>182000</v>
      </c>
      <c r="F120" s="174">
        <v>168909</v>
      </c>
      <c r="G120" s="64" t="s">
        <v>440</v>
      </c>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row>
    <row r="121" spans="1:48" ht="9" customHeight="1" x14ac:dyDescent="0.3"/>
    <row r="122" spans="1:48" s="154" customFormat="1" ht="17.25" customHeight="1" x14ac:dyDescent="0.3">
      <c r="A122" s="236" t="s">
        <v>50</v>
      </c>
      <c r="B122" s="245">
        <f>+B120+B118+B105+B94+B87+B74+B63+B53+B41+B111</f>
        <v>2508899</v>
      </c>
      <c r="C122" s="245">
        <f>+C120+C118+C105+C94+C87+C74+C63+C53+C41+C111</f>
        <v>2472677</v>
      </c>
      <c r="D122" s="245">
        <f>+D120+D118+D105+D94+D87+D74+D63+D53+D41+D111</f>
        <v>2432803</v>
      </c>
      <c r="E122" s="161">
        <f>+E120+E118+E105+E94+E87+E74+E63+E53+E41+E111</f>
        <v>2399666</v>
      </c>
      <c r="F122" s="161">
        <v>2174230</v>
      </c>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row>
    <row r="123" spans="1:48" ht="9.75" customHeight="1" x14ac:dyDescent="0.3"/>
    <row r="124" spans="1:48" s="154" customFormat="1" ht="14.4" x14ac:dyDescent="0.3">
      <c r="A124" s="236" t="s">
        <v>80</v>
      </c>
      <c r="B124" s="240">
        <f>B21-B122</f>
        <v>16882</v>
      </c>
      <c r="C124" s="240">
        <f>C21-C122</f>
        <v>22334</v>
      </c>
      <c r="D124" s="240">
        <f>D21-D122</f>
        <v>44280.120000000112</v>
      </c>
      <c r="E124" s="158">
        <f>E21-E122</f>
        <v>42424.029999999795</v>
      </c>
      <c r="F124" s="158">
        <f>F21-F122</f>
        <v>152759</v>
      </c>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row>
    <row r="125" spans="1:48" ht="17.25" customHeight="1" x14ac:dyDescent="0.3">
      <c r="A125" s="75" t="s">
        <v>210</v>
      </c>
      <c r="B125" s="66">
        <v>380076</v>
      </c>
      <c r="C125" s="66">
        <v>431014</v>
      </c>
      <c r="D125" s="66">
        <v>431014</v>
      </c>
      <c r="E125" s="66">
        <v>251169</v>
      </c>
      <c r="F125" s="66">
        <v>251169</v>
      </c>
    </row>
    <row r="126" spans="1:48" ht="17.25" customHeight="1" x14ac:dyDescent="0.3">
      <c r="A126" s="75" t="s">
        <v>274</v>
      </c>
      <c r="B126" s="87">
        <f>SUM(B124:B125)</f>
        <v>396958</v>
      </c>
      <c r="C126" s="87">
        <f>SUM(C124:C125)</f>
        <v>453348</v>
      </c>
      <c r="D126" s="87">
        <f>SUM(D124:D125)</f>
        <v>475294.12000000011</v>
      </c>
      <c r="E126" s="76">
        <f>SUM(E124:E125)</f>
        <v>293593.0299999998</v>
      </c>
      <c r="F126" s="76">
        <f>SUM(F124:F125)</f>
        <v>403928</v>
      </c>
    </row>
    <row r="127" spans="1:48" ht="15.75" customHeight="1" x14ac:dyDescent="0.3">
      <c r="A127" s="75" t="s">
        <v>295</v>
      </c>
      <c r="B127" s="150">
        <f>(B21-B19)*0.03</f>
        <v>74273.429999999993</v>
      </c>
      <c r="C127" s="150">
        <f>(C21-C19)*0.03</f>
        <v>73272</v>
      </c>
      <c r="D127" s="150">
        <f>(D21-D19)*0.03</f>
        <v>72857.1636</v>
      </c>
      <c r="E127" s="150">
        <f>(E21-E19)*0.03</f>
        <v>71582.700899999996</v>
      </c>
      <c r="F127" s="150">
        <f>F21*0.03</f>
        <v>69809.67</v>
      </c>
    </row>
    <row r="128" spans="1:48" ht="18" customHeight="1" thickBot="1" x14ac:dyDescent="0.35">
      <c r="A128" s="75" t="s">
        <v>273</v>
      </c>
      <c r="B128" s="162">
        <f>+B126-B127</f>
        <v>322684.57</v>
      </c>
      <c r="C128" s="162">
        <f>+C126-C127</f>
        <v>380076</v>
      </c>
      <c r="D128" s="162">
        <f>+D126-D127</f>
        <v>402436.95640000014</v>
      </c>
      <c r="E128" s="162">
        <f>+E126-E127</f>
        <v>222010.3290999998</v>
      </c>
      <c r="F128" s="162">
        <f>+F126-F127</f>
        <v>334118.33</v>
      </c>
    </row>
    <row r="129" ht="12.6" customHeight="1" thickTop="1" x14ac:dyDescent="0.3"/>
  </sheetData>
  <printOptions gridLines="1"/>
  <pageMargins left="0.67" right="0.18" top="0.74" bottom="0.64" header="0.18" footer="0.38"/>
  <pageSetup orientation="landscape" r:id="rId1"/>
  <headerFooter alignWithMargins="0">
    <oddHeader xml:space="preserve">&amp;CJames Irwin Charter Academy
2017-2018 Apr Budget Draft March 21, 2017
</oddHeader>
    <oddFooter>&amp;L&amp;D&amp;T&amp;R&amp;P</oddFooter>
  </headerFooter>
  <rowBreaks count="3" manualBreakCount="3">
    <brk id="37" max="16383" man="1"/>
    <brk id="75" max="16383" man="1"/>
    <brk id="11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95" zoomScaleNormal="95" workbookViewId="0">
      <pane ySplit="5" topLeftCell="A18" activePane="bottomLeft" state="frozen"/>
      <selection pane="bottomLeft" activeCell="B53" sqref="B53"/>
    </sheetView>
  </sheetViews>
  <sheetFormatPr defaultColWidth="9.109375" defaultRowHeight="12.6" customHeight="1" x14ac:dyDescent="0.3"/>
  <cols>
    <col min="1" max="1" width="39.33203125" style="64" customWidth="1"/>
    <col min="2" max="2" width="14.5546875" style="64" customWidth="1"/>
    <col min="3" max="3" width="15.33203125" style="64" customWidth="1"/>
    <col min="4" max="4" width="14.5546875" style="64" customWidth="1"/>
    <col min="5" max="5" width="12.44140625" style="64" hidden="1" customWidth="1"/>
    <col min="6" max="6" width="12.109375" style="64" hidden="1" customWidth="1"/>
    <col min="7" max="7" width="21.5546875" style="64" customWidth="1"/>
    <col min="8" max="8" width="9.109375" style="64"/>
    <col min="9" max="9" width="13.109375" style="64" customWidth="1"/>
    <col min="10" max="16384" width="9.109375" style="64"/>
  </cols>
  <sheetData>
    <row r="1" spans="1:9" ht="15.75" customHeight="1" x14ac:dyDescent="0.3">
      <c r="B1" s="126" t="s">
        <v>15</v>
      </c>
      <c r="C1" s="126"/>
      <c r="D1" s="126" t="s">
        <v>15</v>
      </c>
      <c r="E1" s="126" t="s">
        <v>15</v>
      </c>
      <c r="F1" s="126" t="s">
        <v>15</v>
      </c>
    </row>
    <row r="2" spans="1:9" s="46" customFormat="1" ht="18" customHeight="1" x14ac:dyDescent="0.3">
      <c r="A2" s="71" t="s">
        <v>251</v>
      </c>
      <c r="B2" s="119">
        <v>494</v>
      </c>
      <c r="C2" s="119">
        <v>494</v>
      </c>
      <c r="D2" s="119">
        <v>494</v>
      </c>
      <c r="E2" s="119">
        <v>494</v>
      </c>
      <c r="F2" s="119">
        <v>498.42</v>
      </c>
      <c r="G2" s="202" t="s">
        <v>448</v>
      </c>
    </row>
    <row r="3" spans="1:9" s="44" customFormat="1" ht="16.5" customHeight="1" x14ac:dyDescent="0.3">
      <c r="A3" s="70" t="s">
        <v>252</v>
      </c>
      <c r="B3" s="48">
        <v>7299.12</v>
      </c>
      <c r="C3" s="48">
        <v>7147.06</v>
      </c>
      <c r="D3" s="48">
        <v>7156.34</v>
      </c>
      <c r="E3" s="48">
        <v>7034.8</v>
      </c>
      <c r="F3" s="48">
        <v>7034.8</v>
      </c>
      <c r="G3" s="182" t="s">
        <v>15</v>
      </c>
    </row>
    <row r="4" spans="1:9" s="100" customFormat="1" ht="12.6" customHeight="1" x14ac:dyDescent="0.3">
      <c r="A4" s="256" t="s">
        <v>22</v>
      </c>
      <c r="B4" s="44">
        <v>250</v>
      </c>
      <c r="C4" s="44">
        <v>250</v>
      </c>
      <c r="D4" s="44">
        <v>250</v>
      </c>
      <c r="E4" s="44">
        <v>250</v>
      </c>
      <c r="F4" s="44">
        <v>250</v>
      </c>
    </row>
    <row r="5" spans="1:9" s="44" customFormat="1" ht="36.75" customHeight="1" thickBot="1" x14ac:dyDescent="0.35">
      <c r="A5" s="49"/>
      <c r="B5" s="187" t="s">
        <v>444</v>
      </c>
      <c r="C5" s="187" t="s">
        <v>453</v>
      </c>
      <c r="D5" s="187" t="s">
        <v>423</v>
      </c>
      <c r="E5" s="187" t="s">
        <v>318</v>
      </c>
      <c r="F5" s="187" t="s">
        <v>306</v>
      </c>
    </row>
    <row r="6" spans="1:9" ht="12" customHeight="1" x14ac:dyDescent="0.3">
      <c r="A6" s="227" t="s">
        <v>16</v>
      </c>
      <c r="B6" s="228"/>
      <c r="C6" s="228"/>
      <c r="D6" s="228"/>
      <c r="E6" s="73"/>
      <c r="F6" s="73"/>
    </row>
    <row r="7" spans="1:9" ht="12" customHeight="1" x14ac:dyDescent="0.3">
      <c r="A7" s="46" t="s">
        <v>26</v>
      </c>
    </row>
    <row r="8" spans="1:9" ht="12" customHeight="1" x14ac:dyDescent="0.3">
      <c r="A8" s="64" t="s">
        <v>63</v>
      </c>
      <c r="B8" s="76">
        <v>3600</v>
      </c>
      <c r="C8" s="76">
        <v>3600</v>
      </c>
      <c r="D8" s="76">
        <v>3600</v>
      </c>
      <c r="E8" s="76">
        <v>2000</v>
      </c>
      <c r="F8" s="76">
        <v>4901</v>
      </c>
    </row>
    <row r="9" spans="1:9" ht="12" customHeight="1" x14ac:dyDescent="0.3">
      <c r="A9" s="64" t="s">
        <v>76</v>
      </c>
      <c r="B9" s="76">
        <v>10000</v>
      </c>
      <c r="C9" s="76">
        <v>9419</v>
      </c>
      <c r="D9" s="76">
        <v>7715</v>
      </c>
      <c r="E9" s="76">
        <v>7715</v>
      </c>
      <c r="F9" s="76">
        <v>13557</v>
      </c>
    </row>
    <row r="10" spans="1:9" ht="12" customHeight="1" x14ac:dyDescent="0.3">
      <c r="A10" s="64" t="s">
        <v>17</v>
      </c>
      <c r="B10" s="64">
        <v>20000</v>
      </c>
      <c r="C10" s="64">
        <v>21319</v>
      </c>
      <c r="D10" s="64">
        <v>20272</v>
      </c>
      <c r="E10" s="64">
        <v>15120</v>
      </c>
      <c r="F10" s="64">
        <v>17023</v>
      </c>
    </row>
    <row r="11" spans="1:9" ht="12" customHeight="1" x14ac:dyDescent="0.3">
      <c r="A11" s="64" t="s">
        <v>77</v>
      </c>
      <c r="B11" s="76">
        <v>0</v>
      </c>
      <c r="C11" s="76">
        <v>7190</v>
      </c>
      <c r="D11" s="76">
        <v>0</v>
      </c>
      <c r="E11" s="76">
        <v>0</v>
      </c>
      <c r="F11" s="76">
        <v>5068</v>
      </c>
    </row>
    <row r="12" spans="1:9" ht="13.5" customHeight="1" x14ac:dyDescent="0.3">
      <c r="A12" s="64" t="s">
        <v>326</v>
      </c>
      <c r="B12" s="76">
        <v>0</v>
      </c>
      <c r="C12" s="76">
        <v>0</v>
      </c>
      <c r="D12" s="76">
        <v>0</v>
      </c>
      <c r="E12" s="76">
        <v>0</v>
      </c>
      <c r="F12" s="76">
        <v>2628</v>
      </c>
    </row>
    <row r="13" spans="1:9" ht="12" customHeight="1" x14ac:dyDescent="0.3">
      <c r="A13" s="64" t="s">
        <v>22</v>
      </c>
      <c r="B13" s="77">
        <f>D2*D4</f>
        <v>123500</v>
      </c>
      <c r="C13" s="77">
        <v>123500</v>
      </c>
      <c r="D13" s="77">
        <f>D2*D4</f>
        <v>123500</v>
      </c>
      <c r="E13" s="77">
        <f>E2*E4</f>
        <v>123500</v>
      </c>
      <c r="F13" s="77">
        <v>128832</v>
      </c>
      <c r="G13" s="64" t="s">
        <v>269</v>
      </c>
      <c r="I13" s="115"/>
    </row>
    <row r="14" spans="1:9" ht="12" customHeight="1" x14ac:dyDescent="0.3">
      <c r="A14" s="64" t="s">
        <v>73</v>
      </c>
      <c r="B14" s="76">
        <v>15000</v>
      </c>
      <c r="C14" s="76">
        <v>15000</v>
      </c>
      <c r="D14" s="76">
        <v>15000</v>
      </c>
      <c r="E14" s="76">
        <v>15000</v>
      </c>
      <c r="F14" s="76">
        <v>18455</v>
      </c>
    </row>
    <row r="15" spans="1:9" ht="12" customHeight="1" x14ac:dyDescent="0.3">
      <c r="A15" s="64" t="s">
        <v>18</v>
      </c>
      <c r="B15" s="66">
        <f>B2*B3</f>
        <v>3605765.28</v>
      </c>
      <c r="C15" s="66">
        <f>C2*C3</f>
        <v>3530647.64</v>
      </c>
      <c r="D15" s="66">
        <f>D2*D3</f>
        <v>3535231.96</v>
      </c>
      <c r="E15" s="66">
        <f>E2*E3</f>
        <v>3475191.2</v>
      </c>
      <c r="F15" s="66">
        <v>3496685</v>
      </c>
      <c r="G15" s="64" t="e">
        <f>+#REF!-B15</f>
        <v>#REF!</v>
      </c>
    </row>
    <row r="16" spans="1:9" s="46" customFormat="1" ht="12" customHeight="1" x14ac:dyDescent="0.3">
      <c r="A16" s="46" t="s">
        <v>27</v>
      </c>
      <c r="B16" s="46">
        <f>SUM(B8:B15)</f>
        <v>3777865.28</v>
      </c>
      <c r="C16" s="46">
        <f>SUM(C8:C15)</f>
        <v>3710675.64</v>
      </c>
      <c r="D16" s="46">
        <f>SUM(D8:D15)</f>
        <v>3705318.96</v>
      </c>
      <c r="E16" s="46">
        <f>SUM(E8:E15)</f>
        <v>3638526.2</v>
      </c>
      <c r="F16" s="46">
        <f>SUM(F8:F15)</f>
        <v>3687149</v>
      </c>
    </row>
    <row r="17" spans="1:9" s="46" customFormat="1" ht="8.25" customHeight="1" x14ac:dyDescent="0.3"/>
    <row r="18" spans="1:9" s="46" customFormat="1" ht="12" customHeight="1" x14ac:dyDescent="0.3">
      <c r="A18" s="46" t="s">
        <v>99</v>
      </c>
    </row>
    <row r="19" spans="1:9" s="46" customFormat="1" ht="12" customHeight="1" x14ac:dyDescent="0.3">
      <c r="A19" s="64" t="s">
        <v>201</v>
      </c>
      <c r="B19" s="46">
        <v>40000</v>
      </c>
      <c r="C19" s="46">
        <v>41506</v>
      </c>
      <c r="D19" s="46">
        <v>41506</v>
      </c>
      <c r="E19" s="46">
        <v>19929</v>
      </c>
      <c r="F19" s="46">
        <v>19929</v>
      </c>
    </row>
    <row r="20" spans="1:9" s="46" customFormat="1" ht="12" customHeight="1" x14ac:dyDescent="0.3">
      <c r="A20" s="64" t="s">
        <v>364</v>
      </c>
      <c r="B20" s="46">
        <v>25000</v>
      </c>
      <c r="C20" s="46">
        <v>29002.58</v>
      </c>
      <c r="D20" s="46">
        <v>29002.58</v>
      </c>
      <c r="E20" s="46">
        <v>29002.58</v>
      </c>
      <c r="F20" s="46">
        <v>32226</v>
      </c>
    </row>
    <row r="21" spans="1:9" ht="12" customHeight="1" x14ac:dyDescent="0.3">
      <c r="A21" s="64" t="s">
        <v>100</v>
      </c>
      <c r="B21" s="84">
        <v>20000</v>
      </c>
      <c r="C21" s="84">
        <v>20160</v>
      </c>
      <c r="D21" s="84">
        <v>18403</v>
      </c>
      <c r="E21" s="84">
        <v>18403</v>
      </c>
      <c r="F21" s="84">
        <v>17007</v>
      </c>
    </row>
    <row r="22" spans="1:9" s="46" customFormat="1" ht="12" customHeight="1" x14ac:dyDescent="0.3">
      <c r="A22" s="46" t="s">
        <v>49</v>
      </c>
      <c r="B22" s="46">
        <f>SUM(B16:B21)</f>
        <v>3862865.28</v>
      </c>
      <c r="C22" s="46">
        <f>SUM(C16:C21)</f>
        <v>3801344.22</v>
      </c>
      <c r="D22" s="46">
        <f>SUM(D16:D21)</f>
        <v>3794230.54</v>
      </c>
      <c r="E22" s="46">
        <f>SUM(E16:E21)</f>
        <v>3705860.7800000003</v>
      </c>
      <c r="F22" s="46">
        <f>SUM(F16:F21)</f>
        <v>3756311</v>
      </c>
    </row>
    <row r="23" spans="1:9" ht="9" customHeight="1" x14ac:dyDescent="0.3"/>
    <row r="24" spans="1:9" ht="12" customHeight="1" x14ac:dyDescent="0.3">
      <c r="A24" s="227" t="s">
        <v>19</v>
      </c>
      <c r="B24" s="228"/>
      <c r="C24" s="228"/>
      <c r="D24" s="228"/>
      <c r="E24" s="73"/>
      <c r="F24" s="73"/>
    </row>
    <row r="25" spans="1:9" ht="12" customHeight="1" x14ac:dyDescent="0.3">
      <c r="A25" s="46" t="s">
        <v>14</v>
      </c>
    </row>
    <row r="26" spans="1:9" ht="12" customHeight="1" x14ac:dyDescent="0.3">
      <c r="A26" s="227" t="s">
        <v>30</v>
      </c>
      <c r="B26" s="228"/>
      <c r="C26" s="228"/>
      <c r="D26" s="228"/>
      <c r="E26" s="73"/>
      <c r="F26" s="73"/>
    </row>
    <row r="27" spans="1:9" ht="12" customHeight="1" x14ac:dyDescent="0.3">
      <c r="A27" s="75" t="s">
        <v>231</v>
      </c>
      <c r="B27" s="64">
        <v>1249570</v>
      </c>
      <c r="C27" s="64">
        <v>1223730</v>
      </c>
      <c r="D27" s="64">
        <v>1233230</v>
      </c>
      <c r="E27" s="64">
        <v>1206267</v>
      </c>
      <c r="F27" s="64">
        <v>1120750</v>
      </c>
      <c r="G27" s="64" t="s">
        <v>365</v>
      </c>
    </row>
    <row r="28" spans="1:9" ht="12" customHeight="1" x14ac:dyDescent="0.3">
      <c r="A28" s="75" t="s">
        <v>233</v>
      </c>
      <c r="B28" s="64">
        <f>38000+9500</f>
        <v>47500</v>
      </c>
      <c r="C28" s="64">
        <f>42000+9500</f>
        <v>51500</v>
      </c>
      <c r="D28" s="64">
        <f>42000+2505</f>
        <v>44505</v>
      </c>
      <c r="E28" s="64">
        <v>38200</v>
      </c>
      <c r="F28" s="64">
        <v>47871</v>
      </c>
      <c r="G28" s="64" t="s">
        <v>457</v>
      </c>
    </row>
    <row r="29" spans="1:9" ht="12" customHeight="1" x14ac:dyDescent="0.3">
      <c r="A29" s="75" t="s">
        <v>234</v>
      </c>
      <c r="B29" s="64">
        <v>19000</v>
      </c>
      <c r="C29" s="64">
        <v>19000</v>
      </c>
      <c r="D29" s="64">
        <v>19000</v>
      </c>
      <c r="E29" s="64">
        <v>19000</v>
      </c>
      <c r="F29" s="64">
        <v>4373</v>
      </c>
    </row>
    <row r="30" spans="1:9" ht="12" customHeight="1" x14ac:dyDescent="0.3">
      <c r="A30" s="75" t="s">
        <v>314</v>
      </c>
      <c r="B30" s="64">
        <v>0</v>
      </c>
      <c r="C30" s="64">
        <v>50000</v>
      </c>
      <c r="D30" s="64">
        <v>50000</v>
      </c>
      <c r="E30" s="64">
        <v>36737</v>
      </c>
      <c r="F30" s="64">
        <v>36737</v>
      </c>
    </row>
    <row r="31" spans="1:9" ht="12" customHeight="1" x14ac:dyDescent="0.3">
      <c r="A31" s="75" t="s">
        <v>122</v>
      </c>
      <c r="B31" s="64">
        <v>19500</v>
      </c>
      <c r="C31" s="64">
        <v>19500</v>
      </c>
      <c r="D31" s="64">
        <v>19500</v>
      </c>
      <c r="E31" s="64">
        <v>21320</v>
      </c>
      <c r="F31" s="64">
        <v>17697</v>
      </c>
      <c r="I31" s="188"/>
    </row>
    <row r="32" spans="1:9" ht="12" customHeight="1" x14ac:dyDescent="0.3">
      <c r="A32" s="75" t="s">
        <v>232</v>
      </c>
      <c r="B32" s="64">
        <v>261000</v>
      </c>
      <c r="C32" s="64">
        <v>251500</v>
      </c>
      <c r="D32" s="64">
        <v>251500</v>
      </c>
      <c r="E32" s="64">
        <v>251111</v>
      </c>
      <c r="F32" s="64">
        <v>221021</v>
      </c>
    </row>
    <row r="33" spans="1:8" ht="12" customHeight="1" x14ac:dyDescent="0.3">
      <c r="A33" s="75" t="s">
        <v>189</v>
      </c>
      <c r="B33" s="66">
        <v>386500</v>
      </c>
      <c r="C33" s="66">
        <v>344384</v>
      </c>
      <c r="D33" s="66">
        <v>344384</v>
      </c>
      <c r="E33" s="66">
        <v>351384</v>
      </c>
      <c r="F33" s="66">
        <v>207177</v>
      </c>
      <c r="G33" s="64" t="s">
        <v>15</v>
      </c>
    </row>
    <row r="34" spans="1:8" ht="15.75" customHeight="1" x14ac:dyDescent="0.3">
      <c r="A34" s="78" t="s">
        <v>139</v>
      </c>
      <c r="B34" s="64">
        <f>SUM(B27:B33)</f>
        <v>1983070</v>
      </c>
      <c r="C34" s="64">
        <f>SUM(C27:C33)</f>
        <v>1959614</v>
      </c>
      <c r="D34" s="64">
        <f>SUM(D27:D33)</f>
        <v>1962119</v>
      </c>
      <c r="E34" s="64">
        <f>SUM(E27:E33)</f>
        <v>1924019</v>
      </c>
      <c r="F34" s="64">
        <f>SUM(F27:F33)</f>
        <v>1655626</v>
      </c>
    </row>
    <row r="35" spans="1:8" ht="12" customHeight="1" x14ac:dyDescent="0.3">
      <c r="A35" s="96" t="s">
        <v>82</v>
      </c>
      <c r="B35" s="64">
        <v>32000</v>
      </c>
      <c r="C35" s="64">
        <v>32000</v>
      </c>
      <c r="D35" s="64">
        <v>32000</v>
      </c>
      <c r="E35" s="64">
        <v>32000</v>
      </c>
      <c r="F35" s="64">
        <v>23735</v>
      </c>
    </row>
    <row r="36" spans="1:8" ht="12" customHeight="1" x14ac:dyDescent="0.3">
      <c r="A36" s="96" t="s">
        <v>83</v>
      </c>
      <c r="B36" s="64">
        <v>153920</v>
      </c>
      <c r="C36" s="64">
        <f>296*520</f>
        <v>153920</v>
      </c>
      <c r="D36" s="64">
        <f>296*520</f>
        <v>153920</v>
      </c>
      <c r="E36" s="64">
        <f>288*520</f>
        <v>149760</v>
      </c>
      <c r="F36" s="64">
        <v>176754</v>
      </c>
      <c r="G36" s="82" t="s">
        <v>366</v>
      </c>
    </row>
    <row r="37" spans="1:8" ht="12" customHeight="1" x14ac:dyDescent="0.3">
      <c r="A37" s="96" t="s">
        <v>84</v>
      </c>
      <c r="B37" s="64">
        <v>18000</v>
      </c>
      <c r="C37" s="64">
        <v>20662</v>
      </c>
      <c r="D37" s="64">
        <v>18962</v>
      </c>
      <c r="E37" s="64">
        <v>18962</v>
      </c>
      <c r="F37" s="64">
        <v>18810</v>
      </c>
      <c r="G37" s="64" t="s">
        <v>15</v>
      </c>
    </row>
    <row r="38" spans="1:8" ht="12" customHeight="1" x14ac:dyDescent="0.3">
      <c r="A38" s="96" t="s">
        <v>85</v>
      </c>
      <c r="B38" s="66">
        <v>30000</v>
      </c>
      <c r="C38" s="66">
        <v>32500</v>
      </c>
      <c r="D38" s="66">
        <v>32500</v>
      </c>
      <c r="E38" s="66">
        <v>32500</v>
      </c>
      <c r="F38" s="66">
        <v>31256</v>
      </c>
    </row>
    <row r="39" spans="1:8" s="46" customFormat="1" ht="12" customHeight="1" x14ac:dyDescent="0.3">
      <c r="A39" s="46" t="s">
        <v>31</v>
      </c>
      <c r="B39" s="87">
        <f>SUM(B34:B38)</f>
        <v>2216990</v>
      </c>
      <c r="C39" s="87">
        <f>SUM(C34:C38)</f>
        <v>2198696</v>
      </c>
      <c r="D39" s="87">
        <f>SUM(D34:D38)</f>
        <v>2199501</v>
      </c>
      <c r="E39" s="87">
        <f>SUM(E34:E38)</f>
        <v>2157241</v>
      </c>
      <c r="F39" s="87">
        <f>SUM(F34:F38)</f>
        <v>1906181</v>
      </c>
    </row>
    <row r="40" spans="1:8" s="46" customFormat="1" ht="12" customHeight="1" x14ac:dyDescent="0.3">
      <c r="A40" s="46" t="s">
        <v>15</v>
      </c>
      <c r="B40" s="87"/>
      <c r="C40" s="87"/>
      <c r="D40" s="87"/>
      <c r="E40" s="87"/>
      <c r="F40" s="87"/>
    </row>
    <row r="41" spans="1:8" s="46" customFormat="1" ht="12" customHeight="1" x14ac:dyDescent="0.3">
      <c r="A41" s="229" t="s">
        <v>35</v>
      </c>
      <c r="B41" s="230"/>
      <c r="C41" s="230"/>
      <c r="D41" s="230"/>
      <c r="E41" s="88"/>
      <c r="F41" s="88"/>
    </row>
    <row r="42" spans="1:8" s="46" customFormat="1" ht="12" customHeight="1" x14ac:dyDescent="0.3">
      <c r="A42" s="97" t="s">
        <v>1</v>
      </c>
      <c r="B42" s="76">
        <v>110486</v>
      </c>
      <c r="C42" s="76">
        <v>72033</v>
      </c>
      <c r="D42" s="76">
        <v>72033</v>
      </c>
      <c r="E42" s="76">
        <v>72033</v>
      </c>
      <c r="F42" s="76">
        <v>60073</v>
      </c>
    </row>
    <row r="43" spans="1:8" s="46" customFormat="1" ht="12" customHeight="1" x14ac:dyDescent="0.3">
      <c r="A43" s="97" t="s">
        <v>122</v>
      </c>
      <c r="B43" s="76">
        <v>1650</v>
      </c>
      <c r="C43" s="76">
        <v>1050</v>
      </c>
      <c r="D43" s="76">
        <v>1050</v>
      </c>
      <c r="E43" s="76">
        <v>1044</v>
      </c>
      <c r="F43" s="76">
        <v>868</v>
      </c>
    </row>
    <row r="44" spans="1:8" s="46" customFormat="1" ht="12" customHeight="1" x14ac:dyDescent="0.3">
      <c r="A44" s="97" t="s">
        <v>232</v>
      </c>
      <c r="B44" s="76">
        <v>22000</v>
      </c>
      <c r="C44" s="76">
        <v>14000</v>
      </c>
      <c r="D44" s="76">
        <v>14000</v>
      </c>
      <c r="E44" s="76">
        <v>13974</v>
      </c>
      <c r="F44" s="76">
        <v>11386</v>
      </c>
    </row>
    <row r="45" spans="1:8" s="46" customFormat="1" ht="12" customHeight="1" x14ac:dyDescent="0.3">
      <c r="A45" s="97" t="s">
        <v>189</v>
      </c>
      <c r="B45" s="76">
        <v>28250</v>
      </c>
      <c r="C45" s="76">
        <v>18250</v>
      </c>
      <c r="D45" s="76">
        <v>18250</v>
      </c>
      <c r="E45" s="76">
        <v>19435</v>
      </c>
      <c r="F45" s="76">
        <v>10603</v>
      </c>
    </row>
    <row r="46" spans="1:8" s="46" customFormat="1" ht="12" customHeight="1" x14ac:dyDescent="0.3">
      <c r="A46" s="97" t="s">
        <v>125</v>
      </c>
      <c r="B46" s="66">
        <v>1000</v>
      </c>
      <c r="C46" s="66">
        <v>1000</v>
      </c>
      <c r="D46" s="66">
        <v>1000</v>
      </c>
      <c r="E46" s="66">
        <v>1000</v>
      </c>
      <c r="F46" s="66"/>
    </row>
    <row r="47" spans="1:8" ht="12" customHeight="1" x14ac:dyDescent="0.3">
      <c r="A47" s="78" t="s">
        <v>139</v>
      </c>
      <c r="B47" s="64">
        <f>SUM(B42:B46)</f>
        <v>163386</v>
      </c>
      <c r="C47" s="64">
        <f>SUM(C42:C46)</f>
        <v>106333</v>
      </c>
      <c r="D47" s="64">
        <f>SUM(D42:D46)</f>
        <v>106333</v>
      </c>
      <c r="E47" s="64">
        <f>SUM(E42:E46)</f>
        <v>107486</v>
      </c>
      <c r="F47" s="64">
        <v>82930</v>
      </c>
    </row>
    <row r="48" spans="1:8" ht="12" customHeight="1" x14ac:dyDescent="0.3">
      <c r="A48" s="78" t="s">
        <v>196</v>
      </c>
      <c r="B48" s="64">
        <v>8333</v>
      </c>
      <c r="C48" s="64">
        <v>8333</v>
      </c>
      <c r="D48" s="64">
        <v>8333</v>
      </c>
      <c r="E48" s="64">
        <v>8333</v>
      </c>
      <c r="F48" s="64">
        <v>3943</v>
      </c>
      <c r="H48" s="188"/>
    </row>
    <row r="49" spans="1:7" ht="12" customHeight="1" x14ac:dyDescent="0.3">
      <c r="A49" s="97" t="s">
        <v>75</v>
      </c>
      <c r="B49" s="66">
        <v>10000</v>
      </c>
      <c r="C49" s="66">
        <v>9419</v>
      </c>
      <c r="D49" s="66">
        <v>7715</v>
      </c>
      <c r="E49" s="66">
        <v>7715</v>
      </c>
      <c r="F49" s="66">
        <v>19241</v>
      </c>
    </row>
    <row r="50" spans="1:7" s="46" customFormat="1" ht="12" customHeight="1" x14ac:dyDescent="0.3">
      <c r="A50" s="46" t="s">
        <v>36</v>
      </c>
      <c r="B50" s="46">
        <f>SUM(B47:B49)</f>
        <v>181719</v>
      </c>
      <c r="C50" s="46">
        <f>SUM(C47:C49)</f>
        <v>124085</v>
      </c>
      <c r="D50" s="46">
        <f>SUM(D47:D49)</f>
        <v>122381</v>
      </c>
      <c r="E50" s="46">
        <f>SUM(E47:E49)</f>
        <v>123534</v>
      </c>
      <c r="F50" s="46">
        <f>SUM(F47:F49)</f>
        <v>106114</v>
      </c>
    </row>
    <row r="51" spans="1:7" ht="6.75" customHeight="1" x14ac:dyDescent="0.3"/>
    <row r="52" spans="1:7" s="46" customFormat="1" ht="12" customHeight="1" x14ac:dyDescent="0.3">
      <c r="A52" s="227" t="s">
        <v>37</v>
      </c>
      <c r="B52" s="230"/>
      <c r="C52" s="230"/>
      <c r="D52" s="230"/>
      <c r="E52" s="88"/>
      <c r="F52" s="88"/>
    </row>
    <row r="53" spans="1:7" ht="13.5" customHeight="1" x14ac:dyDescent="0.3">
      <c r="A53" s="97" t="s">
        <v>1</v>
      </c>
      <c r="B53" s="64">
        <v>87109</v>
      </c>
      <c r="C53" s="64">
        <v>57600</v>
      </c>
      <c r="D53" s="64">
        <v>57600</v>
      </c>
      <c r="E53" s="64">
        <v>56164</v>
      </c>
      <c r="F53" s="64">
        <v>44635</v>
      </c>
      <c r="G53" s="64" t="s">
        <v>15</v>
      </c>
    </row>
    <row r="54" spans="1:7" ht="12" customHeight="1" x14ac:dyDescent="0.3">
      <c r="A54" s="97" t="s">
        <v>122</v>
      </c>
      <c r="B54" s="64">
        <v>1263</v>
      </c>
      <c r="C54" s="64">
        <v>1100</v>
      </c>
      <c r="D54" s="64">
        <v>1100</v>
      </c>
      <c r="E54" s="64">
        <v>814</v>
      </c>
      <c r="F54" s="64">
        <v>312</v>
      </c>
    </row>
    <row r="55" spans="1:7" ht="12" customHeight="1" x14ac:dyDescent="0.3">
      <c r="A55" s="97" t="s">
        <v>232</v>
      </c>
      <c r="B55" s="76">
        <v>17335</v>
      </c>
      <c r="C55" s="76">
        <v>14300</v>
      </c>
      <c r="D55" s="76">
        <v>14300</v>
      </c>
      <c r="E55" s="76">
        <v>10896</v>
      </c>
      <c r="F55" s="66">
        <v>8742</v>
      </c>
    </row>
    <row r="56" spans="1:7" ht="12" customHeight="1" x14ac:dyDescent="0.3">
      <c r="A56" s="97" t="s">
        <v>189</v>
      </c>
      <c r="B56" s="66">
        <v>16118</v>
      </c>
      <c r="C56" s="66">
        <v>7000</v>
      </c>
      <c r="D56" s="66">
        <v>7000</v>
      </c>
      <c r="E56" s="66"/>
      <c r="F56" s="76"/>
    </row>
    <row r="57" spans="1:7" ht="12" customHeight="1" x14ac:dyDescent="0.3">
      <c r="A57" s="78" t="s">
        <v>139</v>
      </c>
      <c r="B57" s="64">
        <f>SUM(B53:B56)</f>
        <v>121825</v>
      </c>
      <c r="C57" s="64">
        <f>SUM(C53:C56)</f>
        <v>80000</v>
      </c>
      <c r="D57" s="64">
        <f>SUM(D53:D56)</f>
        <v>80000</v>
      </c>
      <c r="E57" s="64">
        <f>SUM(E53:E55)</f>
        <v>67874</v>
      </c>
      <c r="F57" s="64">
        <v>55087</v>
      </c>
    </row>
    <row r="58" spans="1:7" ht="12" customHeight="1" x14ac:dyDescent="0.3">
      <c r="A58" s="82" t="s">
        <v>2</v>
      </c>
      <c r="B58" s="82">
        <v>5000</v>
      </c>
      <c r="C58" s="82">
        <v>11200</v>
      </c>
      <c r="D58" s="82">
        <v>11200</v>
      </c>
      <c r="E58" s="82">
        <v>11200</v>
      </c>
      <c r="F58" s="82">
        <v>6840</v>
      </c>
    </row>
    <row r="59" spans="1:7" ht="12" customHeight="1" x14ac:dyDescent="0.3">
      <c r="A59" s="64" t="s">
        <v>38</v>
      </c>
      <c r="B59" s="66">
        <v>15000</v>
      </c>
      <c r="C59" s="66">
        <v>20000</v>
      </c>
      <c r="D59" s="66">
        <v>20000</v>
      </c>
      <c r="E59" s="66">
        <v>20000</v>
      </c>
      <c r="F59" s="66">
        <v>7896</v>
      </c>
    </row>
    <row r="60" spans="1:7" s="46" customFormat="1" ht="12" customHeight="1" x14ac:dyDescent="0.3">
      <c r="A60" s="46" t="s">
        <v>56</v>
      </c>
      <c r="B60" s="46">
        <f>SUM(B57:B59)</f>
        <v>141825</v>
      </c>
      <c r="C60" s="46">
        <f>SUM(C57:C59)</f>
        <v>111200</v>
      </c>
      <c r="D60" s="46">
        <f>SUM(D57:D59)</f>
        <v>111200</v>
      </c>
      <c r="E60" s="46">
        <f>SUM(E57:E59)</f>
        <v>99074</v>
      </c>
      <c r="F60" s="46">
        <f>SUM(F57:F59)</f>
        <v>69823</v>
      </c>
    </row>
    <row r="61" spans="1:7" ht="9" customHeight="1" x14ac:dyDescent="0.3">
      <c r="B61" s="76"/>
      <c r="C61" s="76"/>
      <c r="D61" s="76"/>
      <c r="E61" s="76"/>
      <c r="F61" s="76"/>
    </row>
    <row r="62" spans="1:7" s="46" customFormat="1" ht="12" customHeight="1" x14ac:dyDescent="0.3">
      <c r="A62" s="227" t="s">
        <v>40</v>
      </c>
      <c r="B62" s="230"/>
      <c r="C62" s="230"/>
      <c r="D62" s="230"/>
      <c r="E62" s="88"/>
      <c r="F62" s="88"/>
    </row>
    <row r="63" spans="1:7" ht="12" customHeight="1" x14ac:dyDescent="0.3">
      <c r="A63" s="98" t="s">
        <v>164</v>
      </c>
      <c r="B63" s="64">
        <v>43596</v>
      </c>
      <c r="C63" s="64">
        <v>41295</v>
      </c>
      <c r="D63" s="64">
        <v>41295</v>
      </c>
      <c r="E63" s="64">
        <v>43186</v>
      </c>
      <c r="F63" s="64">
        <v>48336</v>
      </c>
    </row>
    <row r="64" spans="1:7" ht="12" customHeight="1" x14ac:dyDescent="0.3">
      <c r="A64" s="98" t="s">
        <v>101</v>
      </c>
      <c r="B64" s="64">
        <v>187213</v>
      </c>
      <c r="C64" s="64">
        <v>183457</v>
      </c>
      <c r="D64" s="64">
        <v>183687</v>
      </c>
      <c r="E64" s="64">
        <v>180685</v>
      </c>
      <c r="F64" s="64">
        <v>182199</v>
      </c>
    </row>
    <row r="65" spans="1:7" ht="12" customHeight="1" x14ac:dyDescent="0.3">
      <c r="A65" s="98" t="s">
        <v>213</v>
      </c>
      <c r="B65" s="64">
        <v>6000</v>
      </c>
      <c r="C65" s="64">
        <v>5600</v>
      </c>
      <c r="D65" s="64">
        <v>2000</v>
      </c>
      <c r="E65" s="64">
        <f>3*E2</f>
        <v>1482</v>
      </c>
      <c r="F65" s="64">
        <v>2566</v>
      </c>
      <c r="G65" s="64" t="s">
        <v>363</v>
      </c>
    </row>
    <row r="66" spans="1:7" ht="12" customHeight="1" x14ac:dyDescent="0.3">
      <c r="A66" s="64" t="s">
        <v>4</v>
      </c>
      <c r="B66" s="64">
        <v>3000</v>
      </c>
      <c r="C66" s="64">
        <v>3000</v>
      </c>
      <c r="D66" s="64">
        <v>3000</v>
      </c>
      <c r="E66" s="64">
        <v>3000</v>
      </c>
      <c r="F66" s="64">
        <v>3413</v>
      </c>
    </row>
    <row r="67" spans="1:7" ht="12" customHeight="1" x14ac:dyDescent="0.3">
      <c r="A67" s="64" t="s">
        <v>42</v>
      </c>
      <c r="B67" s="76">
        <v>6000</v>
      </c>
      <c r="C67" s="76">
        <v>6000</v>
      </c>
      <c r="D67" s="76">
        <v>6000</v>
      </c>
      <c r="E67" s="76">
        <v>6000</v>
      </c>
      <c r="F67" s="76">
        <v>3833</v>
      </c>
    </row>
    <row r="68" spans="1:7" ht="12" customHeight="1" x14ac:dyDescent="0.3">
      <c r="A68" s="64" t="s">
        <v>3</v>
      </c>
      <c r="B68" s="66">
        <v>86450</v>
      </c>
      <c r="C68" s="66">
        <f>175*C2</f>
        <v>86450</v>
      </c>
      <c r="D68" s="66">
        <f>175*D2</f>
        <v>86450</v>
      </c>
      <c r="E68" s="66">
        <f>175*E2</f>
        <v>86450</v>
      </c>
      <c r="F68" s="66">
        <v>81858</v>
      </c>
      <c r="G68" s="64" t="s">
        <v>244</v>
      </c>
    </row>
    <row r="69" spans="1:7" s="46" customFormat="1" ht="12" customHeight="1" x14ac:dyDescent="0.3">
      <c r="A69" s="46" t="s">
        <v>41</v>
      </c>
      <c r="B69" s="46">
        <f>SUM(B63:B68)</f>
        <v>332259</v>
      </c>
      <c r="C69" s="46">
        <f>SUM(C63:C68)</f>
        <v>325802</v>
      </c>
      <c r="D69" s="46">
        <f>SUM(D63:D68)</f>
        <v>322432</v>
      </c>
      <c r="E69" s="46">
        <f>SUM(E63:E68)</f>
        <v>320803</v>
      </c>
      <c r="F69" s="46">
        <f>SUM(F63:F68)</f>
        <v>322205</v>
      </c>
    </row>
    <row r="70" spans="1:7" s="46" customFormat="1" ht="9.75" customHeight="1" x14ac:dyDescent="0.3"/>
    <row r="71" spans="1:7" ht="12" customHeight="1" x14ac:dyDescent="0.3">
      <c r="A71" s="227" t="s">
        <v>20</v>
      </c>
      <c r="B71" s="228"/>
      <c r="C71" s="228"/>
      <c r="D71" s="228"/>
      <c r="E71" s="73"/>
      <c r="F71" s="73"/>
    </row>
    <row r="72" spans="1:7" ht="12" customHeight="1" x14ac:dyDescent="0.3">
      <c r="A72" s="97" t="s">
        <v>1</v>
      </c>
      <c r="B72" s="64">
        <v>235493</v>
      </c>
      <c r="C72" s="64">
        <v>210958</v>
      </c>
      <c r="D72" s="64">
        <v>210958</v>
      </c>
      <c r="E72" s="64">
        <v>215533</v>
      </c>
      <c r="F72" s="64">
        <v>183099</v>
      </c>
    </row>
    <row r="73" spans="1:7" ht="12" customHeight="1" x14ac:dyDescent="0.3">
      <c r="A73" s="97" t="s">
        <v>122</v>
      </c>
      <c r="B73" s="64">
        <v>3415</v>
      </c>
      <c r="C73" s="64">
        <v>3100</v>
      </c>
      <c r="D73" s="64">
        <v>3100</v>
      </c>
      <c r="E73" s="64">
        <v>3125</v>
      </c>
      <c r="F73" s="64">
        <v>2606</v>
      </c>
    </row>
    <row r="74" spans="1:7" ht="12" customHeight="1" x14ac:dyDescent="0.3">
      <c r="A74" s="97" t="s">
        <v>232</v>
      </c>
      <c r="B74" s="64">
        <v>46900</v>
      </c>
      <c r="C74" s="64">
        <v>41000</v>
      </c>
      <c r="D74" s="64">
        <v>41000</v>
      </c>
      <c r="E74" s="64">
        <v>41813</v>
      </c>
      <c r="F74" s="64">
        <v>33715</v>
      </c>
    </row>
    <row r="75" spans="1:7" ht="12" customHeight="1" x14ac:dyDescent="0.3">
      <c r="A75" s="97" t="s">
        <v>189</v>
      </c>
      <c r="B75" s="76">
        <v>48400</v>
      </c>
      <c r="C75" s="76">
        <v>35000</v>
      </c>
      <c r="D75" s="76">
        <v>35000</v>
      </c>
      <c r="E75" s="76">
        <v>37375</v>
      </c>
      <c r="F75" s="76">
        <v>15997</v>
      </c>
    </row>
    <row r="76" spans="1:7" ht="12" customHeight="1" x14ac:dyDescent="0.3">
      <c r="A76" s="97" t="s">
        <v>271</v>
      </c>
      <c r="B76" s="66">
        <v>23000</v>
      </c>
      <c r="C76" s="66">
        <v>20150</v>
      </c>
      <c r="D76" s="66">
        <v>21895</v>
      </c>
      <c r="E76" s="66">
        <v>21895</v>
      </c>
      <c r="F76" s="66">
        <v>18895</v>
      </c>
    </row>
    <row r="77" spans="1:7" s="76" customFormat="1" ht="12" customHeight="1" x14ac:dyDescent="0.3">
      <c r="A77" s="78" t="s">
        <v>139</v>
      </c>
      <c r="B77" s="76">
        <f>SUM(B72:B76)</f>
        <v>357208</v>
      </c>
      <c r="C77" s="76">
        <f>SUM(C72:C76)</f>
        <v>310208</v>
      </c>
      <c r="D77" s="76">
        <f>SUM(D72:D76)</f>
        <v>311953</v>
      </c>
      <c r="E77" s="76">
        <f>SUM(E72:E76)</f>
        <v>319741</v>
      </c>
      <c r="F77" s="76">
        <f>SUM(F72:F76)</f>
        <v>254312</v>
      </c>
    </row>
    <row r="78" spans="1:7" ht="12" customHeight="1" x14ac:dyDescent="0.3">
      <c r="A78" s="64" t="s">
        <v>43</v>
      </c>
      <c r="B78" s="64">
        <v>6000</v>
      </c>
      <c r="C78" s="64">
        <v>3500</v>
      </c>
      <c r="D78" s="64">
        <v>3500</v>
      </c>
      <c r="E78" s="64">
        <v>3500</v>
      </c>
      <c r="F78" s="64">
        <v>2937</v>
      </c>
    </row>
    <row r="79" spans="1:7" ht="12" customHeight="1" x14ac:dyDescent="0.3">
      <c r="A79" s="64" t="s">
        <v>285</v>
      </c>
      <c r="B79" s="76">
        <v>1000</v>
      </c>
      <c r="C79" s="76">
        <v>1503</v>
      </c>
      <c r="D79" s="76">
        <v>1503</v>
      </c>
      <c r="E79" s="76">
        <v>1503</v>
      </c>
      <c r="F79" s="76">
        <v>1793</v>
      </c>
    </row>
    <row r="80" spans="1:7" ht="12" customHeight="1" x14ac:dyDescent="0.3">
      <c r="A80" s="64" t="s">
        <v>258</v>
      </c>
      <c r="B80" s="64">
        <v>0</v>
      </c>
      <c r="C80" s="64">
        <v>1500</v>
      </c>
      <c r="D80" s="64">
        <v>1500</v>
      </c>
      <c r="E80" s="64">
        <v>1500</v>
      </c>
    </row>
    <row r="81" spans="1:6" ht="12" customHeight="1" x14ac:dyDescent="0.3">
      <c r="A81" s="64" t="s">
        <v>45</v>
      </c>
      <c r="B81" s="66">
        <v>500</v>
      </c>
      <c r="C81" s="66">
        <v>500</v>
      </c>
      <c r="D81" s="66">
        <v>500</v>
      </c>
      <c r="E81" s="66">
        <v>500</v>
      </c>
      <c r="F81" s="66">
        <v>979</v>
      </c>
    </row>
    <row r="82" spans="1:6" s="46" customFormat="1" ht="12" customHeight="1" x14ac:dyDescent="0.3">
      <c r="A82" s="46" t="s">
        <v>21</v>
      </c>
      <c r="B82" s="46">
        <f>SUM(B77:B81)</f>
        <v>364708</v>
      </c>
      <c r="C82" s="46">
        <f>SUM(C77:C81)</f>
        <v>317211</v>
      </c>
      <c r="D82" s="46">
        <f>SUM(D77:D81)</f>
        <v>318956</v>
      </c>
      <c r="E82" s="46">
        <f>SUM(E77:E81)</f>
        <v>326744</v>
      </c>
      <c r="F82" s="46">
        <f>SUM(F77:F81)</f>
        <v>260021</v>
      </c>
    </row>
    <row r="83" spans="1:6" s="46" customFormat="1" ht="7.5" customHeight="1" x14ac:dyDescent="0.3"/>
    <row r="84" spans="1:6" ht="12" customHeight="1" x14ac:dyDescent="0.3">
      <c r="A84" s="227" t="s">
        <v>51</v>
      </c>
      <c r="B84" s="228"/>
      <c r="C84" s="228"/>
      <c r="D84" s="228"/>
      <c r="E84" s="73"/>
      <c r="F84" s="73"/>
    </row>
    <row r="85" spans="1:6" ht="12" customHeight="1" x14ac:dyDescent="0.3">
      <c r="A85" s="98" t="s">
        <v>51</v>
      </c>
      <c r="B85" s="64">
        <v>38142</v>
      </c>
      <c r="C85" s="64">
        <v>35694</v>
      </c>
      <c r="D85" s="64">
        <v>35694</v>
      </c>
      <c r="E85" s="64">
        <v>34542</v>
      </c>
      <c r="F85" s="64">
        <v>31939</v>
      </c>
    </row>
    <row r="86" spans="1:6" ht="12" customHeight="1" x14ac:dyDescent="0.3">
      <c r="A86" s="64" t="s">
        <v>0</v>
      </c>
      <c r="B86" s="82">
        <v>500</v>
      </c>
      <c r="C86" s="82">
        <v>600</v>
      </c>
      <c r="D86" s="82">
        <v>600</v>
      </c>
      <c r="E86" s="82">
        <v>600</v>
      </c>
      <c r="F86" s="82">
        <v>203</v>
      </c>
    </row>
    <row r="87" spans="1:6" s="76" customFormat="1" ht="12" customHeight="1" x14ac:dyDescent="0.3">
      <c r="A87" s="99" t="s">
        <v>71</v>
      </c>
      <c r="B87" s="77">
        <v>1000</v>
      </c>
      <c r="C87" s="77">
        <v>1500</v>
      </c>
      <c r="D87" s="77">
        <v>1500</v>
      </c>
      <c r="E87" s="77">
        <v>1500</v>
      </c>
      <c r="F87" s="77">
        <v>112</v>
      </c>
    </row>
    <row r="88" spans="1:6" ht="12" customHeight="1" x14ac:dyDescent="0.3">
      <c r="A88" s="64" t="s">
        <v>7</v>
      </c>
      <c r="B88" s="82">
        <v>500</v>
      </c>
      <c r="C88" s="82">
        <v>1000</v>
      </c>
      <c r="D88" s="82">
        <v>1000</v>
      </c>
      <c r="E88" s="82">
        <v>1000</v>
      </c>
      <c r="F88" s="82"/>
    </row>
    <row r="89" spans="1:6" ht="12" customHeight="1" x14ac:dyDescent="0.3">
      <c r="A89" s="64" t="s">
        <v>44</v>
      </c>
      <c r="B89" s="81">
        <v>500</v>
      </c>
      <c r="C89" s="81">
        <v>500</v>
      </c>
      <c r="D89" s="81">
        <v>3100</v>
      </c>
      <c r="E89" s="81">
        <v>3100</v>
      </c>
      <c r="F89" s="81">
        <v>3643</v>
      </c>
    </row>
    <row r="90" spans="1:6" ht="12" customHeight="1" x14ac:dyDescent="0.3">
      <c r="A90" s="46" t="s">
        <v>32</v>
      </c>
      <c r="B90" s="46">
        <f>SUM(B85:B89)</f>
        <v>40642</v>
      </c>
      <c r="C90" s="46">
        <f>SUM(C85:C89)</f>
        <v>39294</v>
      </c>
      <c r="D90" s="46">
        <f>SUM(D85:D89)</f>
        <v>41894</v>
      </c>
      <c r="E90" s="46">
        <f>SUM(E85:E89)</f>
        <v>40742</v>
      </c>
      <c r="F90" s="46">
        <f>SUM(F85:F89)</f>
        <v>35897</v>
      </c>
    </row>
    <row r="91" spans="1:6" s="46" customFormat="1" ht="9.75" customHeight="1" x14ac:dyDescent="0.3">
      <c r="A91" s="64"/>
      <c r="B91" s="64"/>
      <c r="C91" s="64"/>
      <c r="D91" s="64"/>
      <c r="E91" s="64"/>
      <c r="F91" s="64"/>
    </row>
    <row r="92" spans="1:6" ht="12" customHeight="1" x14ac:dyDescent="0.3">
      <c r="A92" s="227" t="s">
        <v>52</v>
      </c>
      <c r="B92" s="228"/>
      <c r="C92" s="228"/>
      <c r="D92" s="228"/>
      <c r="E92" s="73"/>
      <c r="F92" s="73"/>
    </row>
    <row r="93" spans="1:6" ht="12" customHeight="1" x14ac:dyDescent="0.3">
      <c r="A93" s="78" t="s">
        <v>155</v>
      </c>
      <c r="B93" s="64">
        <v>35859</v>
      </c>
      <c r="C93" s="64">
        <v>34191</v>
      </c>
      <c r="D93" s="64">
        <v>34191</v>
      </c>
      <c r="E93" s="64">
        <v>27241</v>
      </c>
      <c r="F93" s="64">
        <v>28395</v>
      </c>
    </row>
    <row r="94" spans="1:6" s="76" customFormat="1" ht="12" customHeight="1" x14ac:dyDescent="0.3">
      <c r="A94" s="78" t="s">
        <v>154</v>
      </c>
      <c r="B94" s="77">
        <v>55000</v>
      </c>
      <c r="C94" s="77">
        <v>55000</v>
      </c>
      <c r="D94" s="77">
        <v>55000</v>
      </c>
      <c r="E94" s="77">
        <v>55000</v>
      </c>
      <c r="F94" s="77">
        <v>39740</v>
      </c>
    </row>
    <row r="95" spans="1:6" s="76" customFormat="1" ht="12" customHeight="1" x14ac:dyDescent="0.3">
      <c r="A95" s="76" t="s">
        <v>10</v>
      </c>
      <c r="B95" s="77">
        <v>5000</v>
      </c>
      <c r="C95" s="77">
        <v>5000</v>
      </c>
      <c r="D95" s="77">
        <v>5000</v>
      </c>
      <c r="E95" s="77">
        <v>5000</v>
      </c>
      <c r="F95" s="77">
        <v>491</v>
      </c>
    </row>
    <row r="96" spans="1:6" ht="12" customHeight="1" x14ac:dyDescent="0.3">
      <c r="A96" s="64" t="s">
        <v>8</v>
      </c>
      <c r="B96" s="82">
        <v>3700</v>
      </c>
      <c r="C96" s="82">
        <v>3700</v>
      </c>
      <c r="D96" s="82">
        <v>3700</v>
      </c>
      <c r="E96" s="82">
        <v>3700</v>
      </c>
      <c r="F96" s="82">
        <v>1268</v>
      </c>
    </row>
    <row r="97" spans="1:9" ht="12" customHeight="1" x14ac:dyDescent="0.3">
      <c r="A97" s="64" t="s">
        <v>46</v>
      </c>
      <c r="B97" s="82">
        <v>20000</v>
      </c>
      <c r="C97" s="82">
        <v>20000</v>
      </c>
      <c r="D97" s="82">
        <v>20000</v>
      </c>
      <c r="E97" s="82">
        <v>20000</v>
      </c>
      <c r="F97" s="82">
        <v>18929</v>
      </c>
    </row>
    <row r="98" spans="1:9" ht="12" customHeight="1" x14ac:dyDescent="0.3">
      <c r="A98" s="64" t="s">
        <v>66</v>
      </c>
      <c r="B98" s="77">
        <v>10000</v>
      </c>
      <c r="C98" s="77">
        <v>11000</v>
      </c>
      <c r="D98" s="77">
        <v>11000</v>
      </c>
      <c r="E98" s="77">
        <v>11000</v>
      </c>
      <c r="F98" s="77">
        <v>9441</v>
      </c>
    </row>
    <row r="99" spans="1:9" ht="12" customHeight="1" x14ac:dyDescent="0.3">
      <c r="A99" s="64" t="s">
        <v>65</v>
      </c>
      <c r="B99" s="77">
        <v>20000</v>
      </c>
      <c r="C99" s="77">
        <v>19500</v>
      </c>
      <c r="D99" s="77">
        <v>20000</v>
      </c>
      <c r="E99" s="77">
        <v>20000</v>
      </c>
      <c r="F99" s="77">
        <v>4320</v>
      </c>
    </row>
    <row r="100" spans="1:9" ht="12" customHeight="1" x14ac:dyDescent="0.3">
      <c r="A100" s="64" t="s">
        <v>9</v>
      </c>
      <c r="B100" s="81">
        <v>84000</v>
      </c>
      <c r="C100" s="81">
        <v>84000</v>
      </c>
      <c r="D100" s="81">
        <v>86000</v>
      </c>
      <c r="E100" s="81">
        <v>86000</v>
      </c>
      <c r="F100" s="81">
        <v>75191</v>
      </c>
    </row>
    <row r="101" spans="1:9" ht="12" customHeight="1" x14ac:dyDescent="0.3">
      <c r="A101" s="46" t="s">
        <v>33</v>
      </c>
      <c r="B101" s="46">
        <f>SUM(B93:B100)</f>
        <v>233559</v>
      </c>
      <c r="C101" s="46">
        <f>SUM(C93:C100)</f>
        <v>232391</v>
      </c>
      <c r="D101" s="46">
        <f>SUM(D93:D100)</f>
        <v>234891</v>
      </c>
      <c r="E101" s="46">
        <f>SUM(E93:E100)</f>
        <v>227941</v>
      </c>
      <c r="F101" s="46">
        <f>SUM(F93:F100)</f>
        <v>177775</v>
      </c>
    </row>
    <row r="102" spans="1:9" ht="9" customHeight="1" x14ac:dyDescent="0.3"/>
    <row r="103" spans="1:9" ht="14.4" x14ac:dyDescent="0.3">
      <c r="A103" s="227" t="s">
        <v>53</v>
      </c>
      <c r="B103" s="228"/>
      <c r="C103" s="228"/>
      <c r="D103" s="228"/>
      <c r="E103" s="73"/>
      <c r="F103" s="73"/>
    </row>
    <row r="104" spans="1:9" ht="12" customHeight="1" x14ac:dyDescent="0.3">
      <c r="A104" s="98" t="s">
        <v>174</v>
      </c>
      <c r="B104" s="64">
        <v>53016</v>
      </c>
      <c r="C104" s="64">
        <v>52981</v>
      </c>
      <c r="D104" s="64">
        <v>52981</v>
      </c>
      <c r="E104" s="64">
        <v>52981</v>
      </c>
      <c r="F104" s="64">
        <v>37480</v>
      </c>
    </row>
    <row r="105" spans="1:9" ht="12" customHeight="1" x14ac:dyDescent="0.3">
      <c r="A105" s="96" t="s">
        <v>91</v>
      </c>
      <c r="B105" s="77">
        <v>50000</v>
      </c>
      <c r="C105" s="77">
        <v>50000</v>
      </c>
      <c r="D105" s="77">
        <v>50000</v>
      </c>
      <c r="E105" s="77">
        <v>50000</v>
      </c>
      <c r="F105" s="77">
        <v>50218</v>
      </c>
    </row>
    <row r="106" spans="1:9" ht="12" customHeight="1" x14ac:dyDescent="0.3">
      <c r="A106" s="64" t="s">
        <v>47</v>
      </c>
      <c r="B106" s="77">
        <v>17000</v>
      </c>
      <c r="C106" s="77">
        <v>17000</v>
      </c>
      <c r="D106" s="77">
        <v>17000</v>
      </c>
      <c r="E106" s="77">
        <v>15000</v>
      </c>
      <c r="F106" s="77">
        <v>12736</v>
      </c>
      <c r="I106" t="s">
        <v>15</v>
      </c>
    </row>
    <row r="107" spans="1:9" ht="12" customHeight="1" x14ac:dyDescent="0.3">
      <c r="A107" s="64" t="s">
        <v>11</v>
      </c>
      <c r="B107" s="66">
        <v>25000</v>
      </c>
      <c r="C107" s="66">
        <v>30000</v>
      </c>
      <c r="D107" s="66">
        <v>30000</v>
      </c>
      <c r="E107" s="66">
        <v>30000</v>
      </c>
      <c r="F107" s="66">
        <v>16660</v>
      </c>
    </row>
    <row r="108" spans="1:9" ht="12" customHeight="1" x14ac:dyDescent="0.3">
      <c r="A108" s="46" t="s">
        <v>34</v>
      </c>
      <c r="B108" s="87">
        <f>SUM(B104:B107)</f>
        <v>145016</v>
      </c>
      <c r="C108" s="87">
        <f>SUM(C104:C107)</f>
        <v>149981</v>
      </c>
      <c r="D108" s="87">
        <f>SUM(D104:D107)</f>
        <v>149981</v>
      </c>
      <c r="E108" s="87">
        <f>SUM(E104:E107)</f>
        <v>147981</v>
      </c>
      <c r="F108" s="87">
        <f>SUM(F104:F107)</f>
        <v>117094</v>
      </c>
    </row>
    <row r="109" spans="1:9" s="46" customFormat="1" ht="12" customHeight="1" x14ac:dyDescent="0.3">
      <c r="A109" s="64"/>
      <c r="B109" s="76"/>
      <c r="C109" s="76"/>
      <c r="D109" s="76"/>
      <c r="E109" s="76"/>
      <c r="F109" s="76"/>
    </row>
    <row r="110" spans="1:9" ht="12" customHeight="1" x14ac:dyDescent="0.3">
      <c r="A110" s="227" t="s">
        <v>145</v>
      </c>
      <c r="B110" s="231">
        <v>381888</v>
      </c>
      <c r="C110" s="231">
        <v>389508</v>
      </c>
      <c r="D110" s="231">
        <v>387000</v>
      </c>
      <c r="E110" s="93">
        <f>410000-2000</f>
        <v>408000</v>
      </c>
      <c r="F110" s="93">
        <v>413955</v>
      </c>
      <c r="G110" s="64" t="s">
        <v>343</v>
      </c>
    </row>
    <row r="111" spans="1:9" s="46" customFormat="1" ht="12" customHeight="1" x14ac:dyDescent="0.3">
      <c r="A111" s="64"/>
      <c r="B111" s="76"/>
      <c r="C111" s="76"/>
      <c r="D111" s="76"/>
      <c r="E111" s="76"/>
      <c r="F111" s="76"/>
      <c r="G111" s="64" t="s">
        <v>437</v>
      </c>
    </row>
    <row r="112" spans="1:9" s="46" customFormat="1" ht="12" customHeight="1" x14ac:dyDescent="0.3">
      <c r="A112" s="227" t="s">
        <v>236</v>
      </c>
      <c r="B112" s="230" t="s">
        <v>15</v>
      </c>
      <c r="C112" s="230" t="s">
        <v>15</v>
      </c>
      <c r="D112" s="230" t="s">
        <v>15</v>
      </c>
      <c r="E112" s="88">
        <v>18403</v>
      </c>
      <c r="F112" s="88">
        <v>17007</v>
      </c>
    </row>
    <row r="113" spans="1:30" s="46" customFormat="1" ht="12" customHeight="1" x14ac:dyDescent="0.3">
      <c r="A113" s="64"/>
      <c r="B113" s="76"/>
      <c r="C113" s="76"/>
      <c r="D113" s="76"/>
      <c r="E113" s="76"/>
      <c r="F113" s="76"/>
      <c r="G113" s="64"/>
    </row>
    <row r="114" spans="1:30" s="46" customFormat="1" ht="12" customHeight="1" x14ac:dyDescent="0.3">
      <c r="A114" s="227" t="s">
        <v>68</v>
      </c>
      <c r="B114" s="230">
        <v>20000</v>
      </c>
      <c r="C114" s="230">
        <v>15900</v>
      </c>
      <c r="D114" s="230">
        <v>15900</v>
      </c>
      <c r="E114" s="88">
        <v>18403</v>
      </c>
      <c r="F114" s="88">
        <v>17007</v>
      </c>
    </row>
    <row r="115" spans="1:30" s="46" customFormat="1" ht="12" customHeight="1" x14ac:dyDescent="0.3">
      <c r="A115" s="64" t="s">
        <v>15</v>
      </c>
    </row>
    <row r="116" spans="1:30" ht="15.75" customHeight="1" thickBot="1" x14ac:dyDescent="0.35">
      <c r="A116" s="227" t="s">
        <v>50</v>
      </c>
      <c r="B116" s="232">
        <f>B114+B110+B108+B101+B90+B82+B69+B60+B50+B39</f>
        <v>4058606</v>
      </c>
      <c r="C116" s="232">
        <f>C114+C110+C108+C101+C90+C82+C69+C60+C50+C39</f>
        <v>3904068</v>
      </c>
      <c r="D116" s="232">
        <f>D114+D110+D108+D101+D90+D82+D69+D60+D50+D39</f>
        <v>3904136</v>
      </c>
      <c r="E116" s="94">
        <f>E114+E110+E108+E101+E90+E82+E69+E60+E50+E39</f>
        <v>3870463</v>
      </c>
      <c r="F116" s="94">
        <f>F114+F110+F108+F101+F90+F82+F69+F60+F50+F39</f>
        <v>3426072</v>
      </c>
      <c r="G116" s="162" t="e">
        <f>+#REF!+#REF!+#REF!</f>
        <v>#REF!</v>
      </c>
    </row>
    <row r="117" spans="1:30" s="46" customFormat="1" ht="12" customHeight="1" thickTop="1" x14ac:dyDescent="0.3">
      <c r="A117" s="64"/>
      <c r="B117" s="64"/>
      <c r="C117" s="64"/>
      <c r="D117" s="64"/>
      <c r="E117" s="64"/>
      <c r="F117" s="64"/>
    </row>
    <row r="118" spans="1:30" ht="15" thickBot="1" x14ac:dyDescent="0.35">
      <c r="A118" s="227" t="s">
        <v>80</v>
      </c>
      <c r="B118" s="230">
        <f>+B22-B116</f>
        <v>-195740.7200000002</v>
      </c>
      <c r="C118" s="230">
        <f>+C22-C116</f>
        <v>-102723.7799999998</v>
      </c>
      <c r="D118" s="230">
        <f>+D22-D116</f>
        <v>-109905.45999999996</v>
      </c>
      <c r="E118" s="95">
        <f>+E22-E116</f>
        <v>-164602.21999999974</v>
      </c>
      <c r="F118" s="95">
        <f>+F22-F116</f>
        <v>330239</v>
      </c>
      <c r="I118" s="64" t="s">
        <v>15</v>
      </c>
    </row>
    <row r="119" spans="1:30" ht="12.6" customHeight="1" thickTop="1" x14ac:dyDescent="0.3"/>
    <row r="120" spans="1:30" ht="12.6" customHeight="1" x14ac:dyDescent="0.3">
      <c r="A120" s="64" t="s">
        <v>371</v>
      </c>
      <c r="C120" s="64">
        <v>10200</v>
      </c>
      <c r="D120" s="64">
        <v>10200</v>
      </c>
    </row>
    <row r="121" spans="1:30" ht="18.75" customHeight="1" x14ac:dyDescent="0.3">
      <c r="A121" s="64" t="s">
        <v>334</v>
      </c>
      <c r="B121" s="66"/>
      <c r="C121" s="66">
        <v>114000</v>
      </c>
      <c r="D121" s="66">
        <v>114000</v>
      </c>
      <c r="E121" s="66"/>
    </row>
    <row r="122" spans="1:30" ht="18.75" customHeight="1" x14ac:dyDescent="0.3">
      <c r="A122" s="64" t="s">
        <v>336</v>
      </c>
      <c r="B122" s="64">
        <f>SUM(B118:B121)</f>
        <v>-195740.7200000002</v>
      </c>
      <c r="C122" s="64">
        <f>C118-C121-C120</f>
        <v>-226923.7799999998</v>
      </c>
      <c r="D122" s="64">
        <f>D118-D121-D120</f>
        <v>-234105.45999999996</v>
      </c>
      <c r="E122" s="64">
        <f>E118-E121</f>
        <v>-164602.21999999974</v>
      </c>
    </row>
    <row r="123" spans="1:30" s="102" customFormat="1" ht="12.6" customHeight="1" x14ac:dyDescent="0.3">
      <c r="A123" s="75" t="s">
        <v>210</v>
      </c>
      <c r="B123" s="2">
        <v>1986256</v>
      </c>
      <c r="C123" s="2">
        <v>2243109</v>
      </c>
      <c r="D123" s="2">
        <v>2243109</v>
      </c>
      <c r="E123" s="2">
        <v>1936766</v>
      </c>
      <c r="F123" s="2">
        <v>2049632</v>
      </c>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row>
    <row r="124" spans="1:30" s="79" customFormat="1" ht="15" customHeight="1" thickBot="1" x14ac:dyDescent="0.35">
      <c r="A124" s="104" t="s">
        <v>278</v>
      </c>
      <c r="B124" s="176">
        <f>SUM(B122:B123)</f>
        <v>1790515.2799999998</v>
      </c>
      <c r="C124" s="176">
        <f>SUM(C122:C123)</f>
        <v>2016185.2200000002</v>
      </c>
      <c r="D124" s="176">
        <f>SUM(D122:D123)</f>
        <v>2009003.54</v>
      </c>
      <c r="E124" s="176">
        <f>SUM(E122:E123)</f>
        <v>1772163.7800000003</v>
      </c>
      <c r="F124" s="176">
        <f>SUM(F118:F123)</f>
        <v>2379871</v>
      </c>
      <c r="G124" s="78"/>
      <c r="H124" s="78"/>
      <c r="I124" s="78"/>
    </row>
    <row r="125" spans="1:30" ht="12.6" customHeight="1" thickTop="1" x14ac:dyDescent="0.3"/>
    <row r="126" spans="1:30" ht="20.25" customHeight="1" x14ac:dyDescent="0.3">
      <c r="A126" s="46" t="s">
        <v>269</v>
      </c>
    </row>
  </sheetData>
  <phoneticPr fontId="0" type="noConversion"/>
  <printOptions gridLines="1"/>
  <pageMargins left="0.67" right="0.18" top="0.74" bottom="0.64" header="0.18" footer="0.38"/>
  <pageSetup orientation="landscape" r:id="rId1"/>
  <headerFooter alignWithMargins="0">
    <oddHeader xml:space="preserve">&amp;CJames Irwin Charter Elementary School
2017-2018 Apr Budget Draft
March 21, 2017
 </oddHeader>
    <oddFooter>&amp;L&amp;D&amp;T&amp;R&amp;P</oddFooter>
  </headerFooter>
  <rowBreaks count="2" manualBreakCount="2">
    <brk id="23" max="16383" man="1"/>
    <brk id="9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64"/>
  <sheetViews>
    <sheetView zoomScaleNormal="100" workbookViewId="0">
      <pane ySplit="5" topLeftCell="A114" activePane="bottomLeft" state="frozen"/>
      <selection pane="bottomLeft" activeCell="P131" sqref="P131"/>
    </sheetView>
  </sheetViews>
  <sheetFormatPr defaultColWidth="9.109375" defaultRowHeight="12.6" customHeight="1" x14ac:dyDescent="0.3"/>
  <cols>
    <col min="1" max="1" width="36.5546875" style="102" customWidth="1"/>
    <col min="2" max="2" width="14.5546875" style="102" customWidth="1"/>
    <col min="3" max="3" width="15.44140625" style="102" customWidth="1"/>
    <col min="4" max="4" width="14.5546875" style="102" customWidth="1"/>
    <col min="5" max="5" width="14.5546875" style="102" hidden="1" customWidth="1"/>
    <col min="6" max="6" width="10.6640625" style="102" hidden="1" customWidth="1"/>
    <col min="7" max="7" width="22.5546875" style="78" customWidth="1"/>
    <col min="8" max="8" width="32.5546875" style="78" customWidth="1"/>
    <col min="9" max="9" width="16" style="78" customWidth="1"/>
    <col min="10" max="21" width="9.109375" style="78"/>
    <col min="22" max="16384" width="9.109375" style="102"/>
  </cols>
  <sheetData>
    <row r="1" spans="1:21" s="44" customFormat="1" ht="12.6" customHeight="1" x14ac:dyDescent="0.3">
      <c r="A1" s="45"/>
      <c r="B1" s="126" t="s">
        <v>15</v>
      </c>
      <c r="C1" s="126"/>
      <c r="D1" s="126" t="s">
        <v>15</v>
      </c>
      <c r="E1" s="126" t="s">
        <v>15</v>
      </c>
      <c r="F1" s="126" t="s">
        <v>15</v>
      </c>
    </row>
    <row r="2" spans="1:21" s="46" customFormat="1" ht="12.6" customHeight="1" x14ac:dyDescent="0.3">
      <c r="A2" s="71" t="s">
        <v>251</v>
      </c>
      <c r="B2" s="47">
        <v>443</v>
      </c>
      <c r="C2" s="47">
        <v>444</v>
      </c>
      <c r="D2" s="47">
        <v>443</v>
      </c>
      <c r="E2" s="47">
        <v>441</v>
      </c>
      <c r="F2" s="47">
        <v>448</v>
      </c>
      <c r="G2" s="46" t="s">
        <v>449</v>
      </c>
    </row>
    <row r="3" spans="1:21" s="46" customFormat="1" ht="12.6" customHeight="1" x14ac:dyDescent="0.3">
      <c r="A3" s="70" t="s">
        <v>252</v>
      </c>
      <c r="B3" s="48">
        <v>7745</v>
      </c>
      <c r="C3" s="48">
        <v>7593.51</v>
      </c>
      <c r="D3" s="48">
        <f>7398.46+116.75</f>
        <v>7515.21</v>
      </c>
      <c r="E3" s="48">
        <v>7356.01</v>
      </c>
      <c r="F3" s="48">
        <v>7356.01</v>
      </c>
      <c r="G3" s="182" t="s">
        <v>447</v>
      </c>
    </row>
    <row r="4" spans="1:21" s="44" customFormat="1" ht="12.6" customHeight="1" x14ac:dyDescent="0.3">
      <c r="A4" s="45"/>
      <c r="B4" s="44">
        <v>250</v>
      </c>
      <c r="C4" s="44">
        <v>250</v>
      </c>
      <c r="D4" s="44">
        <v>250</v>
      </c>
      <c r="E4" s="44">
        <v>250</v>
      </c>
      <c r="F4" s="44">
        <v>250</v>
      </c>
    </row>
    <row r="5" spans="1:21" s="44" customFormat="1" ht="33" customHeight="1" thickBot="1" x14ac:dyDescent="0.35">
      <c r="A5" s="49"/>
      <c r="B5" s="187" t="s">
        <v>444</v>
      </c>
      <c r="C5" s="187" t="s">
        <v>453</v>
      </c>
      <c r="D5" s="187" t="s">
        <v>423</v>
      </c>
      <c r="E5" s="187" t="s">
        <v>318</v>
      </c>
      <c r="F5" s="187" t="s">
        <v>306</v>
      </c>
    </row>
    <row r="6" spans="1:21" s="101" customFormat="1" ht="14.4" x14ac:dyDescent="0.3">
      <c r="A6" s="216" t="s">
        <v>16</v>
      </c>
      <c r="B6" s="217"/>
      <c r="C6" s="217"/>
      <c r="D6" s="217"/>
      <c r="G6" s="78"/>
      <c r="H6" s="78"/>
      <c r="I6" s="78"/>
      <c r="J6" s="78"/>
      <c r="K6" s="78"/>
      <c r="L6" s="78"/>
      <c r="M6" s="78"/>
      <c r="N6" s="78"/>
      <c r="O6" s="78"/>
      <c r="P6" s="78"/>
      <c r="Q6" s="78"/>
      <c r="R6" s="78"/>
      <c r="S6" s="78"/>
      <c r="T6" s="78"/>
      <c r="U6" s="78"/>
    </row>
    <row r="7" spans="1:21" ht="12.9" customHeight="1" x14ac:dyDescent="0.3">
      <c r="A7" s="102" t="s">
        <v>61</v>
      </c>
      <c r="B7" s="102">
        <v>17357</v>
      </c>
      <c r="C7" s="102">
        <v>17357</v>
      </c>
      <c r="D7" s="102">
        <v>17357</v>
      </c>
      <c r="E7" s="102">
        <v>17357</v>
      </c>
      <c r="F7" s="102">
        <v>17947</v>
      </c>
    </row>
    <row r="8" spans="1:21" ht="12.9" customHeight="1" x14ac:dyDescent="0.3">
      <c r="A8" s="102" t="s">
        <v>23</v>
      </c>
      <c r="B8" s="102">
        <v>3000</v>
      </c>
      <c r="C8" s="102">
        <v>3000</v>
      </c>
      <c r="D8" s="102">
        <v>3000</v>
      </c>
      <c r="E8" s="102">
        <v>1800</v>
      </c>
      <c r="F8" s="102">
        <v>4259</v>
      </c>
    </row>
    <row r="9" spans="1:21" ht="12.9" customHeight="1" x14ac:dyDescent="0.3">
      <c r="A9" s="102" t="s">
        <v>242</v>
      </c>
      <c r="B9" s="102">
        <v>5000</v>
      </c>
      <c r="C9" s="102">
        <v>5000</v>
      </c>
      <c r="D9" s="102">
        <v>5000</v>
      </c>
      <c r="E9" s="102">
        <v>5000</v>
      </c>
      <c r="F9" s="102">
        <v>2453</v>
      </c>
    </row>
    <row r="10" spans="1:21" ht="12.9" customHeight="1" x14ac:dyDescent="0.3">
      <c r="A10" s="102" t="s">
        <v>76</v>
      </c>
      <c r="B10" s="78">
        <v>7000</v>
      </c>
      <c r="C10" s="78">
        <v>7000</v>
      </c>
      <c r="D10" s="78">
        <v>7000</v>
      </c>
      <c r="E10" s="78">
        <v>7000</v>
      </c>
      <c r="F10" s="78">
        <v>21819</v>
      </c>
    </row>
    <row r="11" spans="1:21" ht="12.9" customHeight="1" x14ac:dyDescent="0.3">
      <c r="A11" s="102" t="s">
        <v>376</v>
      </c>
      <c r="B11" s="78">
        <v>2000</v>
      </c>
      <c r="C11" s="78">
        <v>1771</v>
      </c>
      <c r="D11" s="78"/>
      <c r="E11" s="78"/>
      <c r="F11" s="78"/>
    </row>
    <row r="12" spans="1:21" ht="12.9" customHeight="1" x14ac:dyDescent="0.3">
      <c r="A12" s="102" t="s">
        <v>103</v>
      </c>
      <c r="B12" s="78">
        <v>5425</v>
      </c>
      <c r="C12" s="78">
        <v>5425</v>
      </c>
      <c r="D12" s="78">
        <v>5425</v>
      </c>
      <c r="E12" s="78">
        <v>5425</v>
      </c>
      <c r="F12" s="78">
        <v>7321</v>
      </c>
    </row>
    <row r="13" spans="1:21" ht="12.9" customHeight="1" x14ac:dyDescent="0.3">
      <c r="A13" s="102" t="s">
        <v>17</v>
      </c>
      <c r="B13" s="78">
        <v>31000</v>
      </c>
      <c r="C13" s="78">
        <v>31067</v>
      </c>
      <c r="D13" s="78">
        <v>31000</v>
      </c>
      <c r="E13" s="78">
        <v>31000</v>
      </c>
      <c r="F13" s="78">
        <v>34141</v>
      </c>
      <c r="G13" s="78" t="s">
        <v>15</v>
      </c>
    </row>
    <row r="14" spans="1:21" s="78" customFormat="1" ht="12.9" customHeight="1" x14ac:dyDescent="0.3">
      <c r="A14" s="78" t="s">
        <v>377</v>
      </c>
      <c r="B14" s="58">
        <v>4000</v>
      </c>
      <c r="C14" s="58">
        <v>14648</v>
      </c>
      <c r="D14" s="58">
        <v>11058</v>
      </c>
      <c r="E14" s="58">
        <v>0</v>
      </c>
      <c r="F14" s="58">
        <f>7304+18</f>
        <v>7322</v>
      </c>
      <c r="G14" s="78" t="s">
        <v>15</v>
      </c>
    </row>
    <row r="15" spans="1:21" s="78" customFormat="1" ht="12.9" customHeight="1" x14ac:dyDescent="0.3">
      <c r="A15" s="78" t="s">
        <v>25</v>
      </c>
      <c r="B15" s="58">
        <v>0</v>
      </c>
      <c r="C15" s="58">
        <v>36</v>
      </c>
      <c r="D15" s="58">
        <v>0</v>
      </c>
      <c r="E15" s="58">
        <v>0</v>
      </c>
      <c r="F15" s="58">
        <f>7304+18</f>
        <v>7322</v>
      </c>
    </row>
    <row r="16" spans="1:21" ht="12.9" customHeight="1" x14ac:dyDescent="0.3">
      <c r="A16" s="102" t="s">
        <v>78</v>
      </c>
      <c r="B16" s="78">
        <v>500</v>
      </c>
      <c r="C16" s="78">
        <v>500</v>
      </c>
      <c r="D16" s="78">
        <v>500</v>
      </c>
      <c r="E16" s="78">
        <v>500</v>
      </c>
      <c r="F16" s="78">
        <v>333</v>
      </c>
    </row>
    <row r="17" spans="1:21" ht="12.9" customHeight="1" x14ac:dyDescent="0.3">
      <c r="A17" s="102" t="s">
        <v>22</v>
      </c>
      <c r="B17" s="79">
        <f>B2*B4</f>
        <v>110750</v>
      </c>
      <c r="C17" s="79">
        <v>111000</v>
      </c>
      <c r="D17" s="79">
        <f>D2*D4</f>
        <v>110750</v>
      </c>
      <c r="E17" s="79">
        <f>E2*E4</f>
        <v>110250</v>
      </c>
      <c r="F17" s="79">
        <v>115804</v>
      </c>
      <c r="G17" s="64" t="s">
        <v>15</v>
      </c>
    </row>
    <row r="18" spans="1:21" ht="12.9" customHeight="1" x14ac:dyDescent="0.3">
      <c r="A18" s="102" t="s">
        <v>73</v>
      </c>
      <c r="B18" s="79">
        <v>7000</v>
      </c>
      <c r="C18" s="79">
        <v>7000</v>
      </c>
      <c r="D18" s="79">
        <v>7000</v>
      </c>
      <c r="E18" s="79">
        <v>7000</v>
      </c>
      <c r="F18" s="79">
        <v>9705</v>
      </c>
    </row>
    <row r="19" spans="1:21" ht="12.9" customHeight="1" x14ac:dyDescent="0.3">
      <c r="A19" s="102" t="s">
        <v>329</v>
      </c>
      <c r="B19" s="79"/>
      <c r="C19" s="79"/>
      <c r="D19" s="79"/>
      <c r="E19" s="79"/>
      <c r="F19" s="79">
        <v>2319</v>
      </c>
    </row>
    <row r="20" spans="1:21" ht="15.75" customHeight="1" x14ac:dyDescent="0.3">
      <c r="A20" s="102" t="s">
        <v>79</v>
      </c>
      <c r="B20" s="103">
        <f>B2*B3</f>
        <v>3431035</v>
      </c>
      <c r="C20" s="103">
        <v>3371518</v>
      </c>
      <c r="D20" s="103">
        <f>D2*D3</f>
        <v>3329238.03</v>
      </c>
      <c r="E20" s="103">
        <f>E2*E3</f>
        <v>3244000.41</v>
      </c>
      <c r="F20" s="103">
        <v>3314510</v>
      </c>
      <c r="G20" s="64" t="e">
        <f>+#REF!-B20</f>
        <v>#REF!</v>
      </c>
    </row>
    <row r="21" spans="1:21" s="104" customFormat="1" ht="12.9" customHeight="1" x14ac:dyDescent="0.3">
      <c r="A21" s="104" t="s">
        <v>27</v>
      </c>
      <c r="B21" s="104">
        <f>SUM(B7:B20)</f>
        <v>3624067</v>
      </c>
      <c r="C21" s="104">
        <f>SUM(C7:C20)</f>
        <v>3575322</v>
      </c>
      <c r="D21" s="104">
        <f>SUM(D7:D20)</f>
        <v>3527328.03</v>
      </c>
      <c r="E21" s="104">
        <f>SUM(E7:E20)</f>
        <v>3429332.41</v>
      </c>
      <c r="F21" s="104">
        <f>SUM(F7:F20)</f>
        <v>3545255</v>
      </c>
      <c r="G21" s="2"/>
      <c r="H21" s="2"/>
      <c r="I21" s="2"/>
      <c r="J21" s="2"/>
      <c r="K21" s="2"/>
      <c r="L21" s="2"/>
      <c r="M21" s="2"/>
      <c r="N21" s="2"/>
      <c r="O21" s="2"/>
      <c r="P21" s="2"/>
      <c r="Q21" s="2"/>
      <c r="R21" s="2"/>
      <c r="S21" s="2"/>
      <c r="T21" s="2"/>
      <c r="U21" s="2"/>
    </row>
    <row r="22" spans="1:21" s="104" customFormat="1" ht="12.9" customHeight="1" x14ac:dyDescent="0.3">
      <c r="G22" s="2"/>
      <c r="H22" s="2"/>
      <c r="I22" s="2"/>
      <c r="J22" s="2"/>
      <c r="K22" s="2"/>
      <c r="L22" s="2"/>
      <c r="M22" s="2"/>
      <c r="N22" s="2"/>
      <c r="O22" s="2"/>
      <c r="P22" s="2"/>
      <c r="Q22" s="2"/>
      <c r="R22" s="2"/>
      <c r="S22" s="2"/>
      <c r="T22" s="2"/>
      <c r="U22" s="2"/>
    </row>
    <row r="23" spans="1:21" s="104" customFormat="1" ht="12.9" customHeight="1" x14ac:dyDescent="0.3">
      <c r="A23" s="104" t="s">
        <v>330</v>
      </c>
      <c r="B23" s="105">
        <v>15000</v>
      </c>
      <c r="C23" s="105">
        <v>20335</v>
      </c>
      <c r="D23" s="105">
        <v>20335.259999999998</v>
      </c>
      <c r="E23" s="105">
        <v>20335.259999999998</v>
      </c>
      <c r="F23" s="105">
        <v>22595</v>
      </c>
      <c r="G23" s="2"/>
      <c r="H23" s="2"/>
      <c r="I23" s="2"/>
      <c r="J23" s="2"/>
      <c r="K23" s="2"/>
      <c r="L23" s="2"/>
      <c r="M23" s="2"/>
      <c r="N23" s="2"/>
      <c r="O23" s="2"/>
      <c r="P23" s="2"/>
      <c r="Q23" s="2"/>
      <c r="R23" s="2"/>
      <c r="S23" s="2"/>
      <c r="T23" s="2"/>
      <c r="U23" s="2"/>
    </row>
    <row r="24" spans="1:21" s="104" customFormat="1" ht="12.9" customHeight="1" x14ac:dyDescent="0.3">
      <c r="A24" s="104" t="s">
        <v>69</v>
      </c>
      <c r="B24" s="105">
        <v>15000</v>
      </c>
      <c r="C24" s="105">
        <v>14827</v>
      </c>
      <c r="D24" s="105">
        <v>14827</v>
      </c>
      <c r="E24" s="105">
        <v>14827</v>
      </c>
      <c r="F24" s="105">
        <v>13144</v>
      </c>
      <c r="G24" s="2"/>
      <c r="H24" s="2"/>
      <c r="I24" s="2"/>
      <c r="J24" s="2"/>
      <c r="K24" s="2"/>
      <c r="L24" s="2"/>
      <c r="M24" s="2"/>
      <c r="N24" s="2"/>
      <c r="O24" s="2"/>
      <c r="P24" s="2"/>
      <c r="Q24" s="2"/>
      <c r="R24" s="2"/>
      <c r="S24" s="2"/>
      <c r="T24" s="2"/>
      <c r="U24" s="2"/>
    </row>
    <row r="25" spans="1:21" s="104" customFormat="1" ht="7.5" customHeight="1" x14ac:dyDescent="0.3">
      <c r="G25" s="2"/>
      <c r="H25" s="2"/>
      <c r="I25" s="2"/>
      <c r="J25" s="2"/>
      <c r="K25" s="2"/>
      <c r="L25" s="2"/>
      <c r="M25" s="2"/>
      <c r="N25" s="2"/>
      <c r="O25" s="2"/>
      <c r="P25" s="2"/>
      <c r="Q25" s="2"/>
      <c r="R25" s="2"/>
      <c r="S25" s="2"/>
      <c r="T25" s="2"/>
      <c r="U25" s="2"/>
    </row>
    <row r="26" spans="1:21" s="104" customFormat="1" ht="12.9" customHeight="1" x14ac:dyDescent="0.3">
      <c r="A26" s="104" t="s">
        <v>146</v>
      </c>
      <c r="G26" s="2"/>
      <c r="H26" s="2"/>
      <c r="I26" s="2"/>
      <c r="J26" s="2"/>
      <c r="K26" s="2"/>
      <c r="L26" s="2"/>
      <c r="M26" s="2"/>
      <c r="N26" s="2"/>
      <c r="O26" s="2"/>
      <c r="P26" s="2"/>
      <c r="Q26" s="2"/>
      <c r="R26" s="2"/>
      <c r="S26" s="2"/>
      <c r="T26" s="2"/>
      <c r="U26" s="2"/>
    </row>
    <row r="27" spans="1:21" s="104" customFormat="1" ht="12.9" customHeight="1" x14ac:dyDescent="0.3">
      <c r="A27" s="102" t="s">
        <v>152</v>
      </c>
      <c r="F27" s="104">
        <v>8483</v>
      </c>
      <c r="G27" s="2"/>
      <c r="H27" s="2"/>
      <c r="I27" s="2"/>
      <c r="J27" s="2"/>
      <c r="K27" s="2"/>
      <c r="L27" s="2"/>
      <c r="M27" s="2"/>
      <c r="N27" s="2"/>
      <c r="O27" s="2"/>
      <c r="P27" s="2"/>
      <c r="Q27" s="2"/>
      <c r="R27" s="2"/>
      <c r="S27" s="2"/>
      <c r="T27" s="2"/>
      <c r="U27" s="2"/>
    </row>
    <row r="28" spans="1:21" s="104" customFormat="1" ht="12.9" customHeight="1" x14ac:dyDescent="0.3">
      <c r="A28" s="102" t="s">
        <v>147</v>
      </c>
      <c r="F28" s="104">
        <v>1783</v>
      </c>
      <c r="G28" s="2"/>
      <c r="H28" s="2"/>
      <c r="I28" s="2"/>
      <c r="J28" s="2"/>
      <c r="K28" s="2"/>
      <c r="L28" s="2"/>
      <c r="M28" s="2"/>
      <c r="N28" s="2"/>
      <c r="O28" s="2"/>
      <c r="P28" s="2"/>
      <c r="Q28" s="2"/>
      <c r="R28" s="2"/>
      <c r="S28" s="2"/>
      <c r="T28" s="2"/>
      <c r="U28" s="2"/>
    </row>
    <row r="29" spans="1:21" s="104" customFormat="1" ht="12.9" customHeight="1" x14ac:dyDescent="0.3">
      <c r="A29" s="102" t="s">
        <v>148</v>
      </c>
      <c r="F29" s="104">
        <v>3552</v>
      </c>
      <c r="G29" s="2"/>
      <c r="H29" s="2"/>
      <c r="I29" s="2"/>
      <c r="J29" s="2"/>
      <c r="K29" s="2"/>
      <c r="L29" s="2"/>
      <c r="M29" s="2"/>
      <c r="N29" s="2"/>
      <c r="O29" s="2"/>
      <c r="P29" s="2"/>
      <c r="Q29" s="2"/>
      <c r="R29" s="2"/>
      <c r="S29" s="2"/>
      <c r="T29" s="2"/>
      <c r="U29" s="2"/>
    </row>
    <row r="30" spans="1:21" s="104" customFormat="1" ht="12.9" customHeight="1" x14ac:dyDescent="0.3">
      <c r="A30" s="102" t="s">
        <v>17</v>
      </c>
      <c r="F30" s="104">
        <v>8848</v>
      </c>
      <c r="G30" s="2"/>
      <c r="H30" s="2"/>
      <c r="I30" s="2"/>
      <c r="J30" s="2"/>
      <c r="K30" s="2"/>
      <c r="L30" s="2"/>
      <c r="M30" s="2"/>
      <c r="N30" s="2"/>
      <c r="O30" s="2"/>
      <c r="P30" s="2"/>
      <c r="Q30" s="2"/>
      <c r="R30" s="2"/>
      <c r="S30" s="2"/>
      <c r="T30" s="2"/>
      <c r="U30" s="2"/>
    </row>
    <row r="31" spans="1:21" s="104" customFormat="1" ht="12.9" customHeight="1" x14ac:dyDescent="0.3">
      <c r="A31" s="102" t="s">
        <v>149</v>
      </c>
      <c r="G31" s="2"/>
      <c r="H31" s="2"/>
      <c r="I31" s="2"/>
      <c r="J31" s="2"/>
      <c r="K31" s="2"/>
      <c r="L31" s="2"/>
      <c r="M31" s="2"/>
      <c r="N31" s="2"/>
      <c r="O31" s="2"/>
      <c r="P31" s="2"/>
      <c r="Q31" s="2"/>
      <c r="R31" s="2"/>
      <c r="S31" s="2"/>
      <c r="T31" s="2"/>
      <c r="U31" s="2"/>
    </row>
    <row r="32" spans="1:21" s="104" customFormat="1" ht="12.9" customHeight="1" x14ac:dyDescent="0.3">
      <c r="A32" s="102" t="s">
        <v>150</v>
      </c>
      <c r="F32" s="104">
        <v>15</v>
      </c>
      <c r="G32" s="2"/>
      <c r="H32" s="2"/>
      <c r="I32" s="2"/>
      <c r="J32" s="2"/>
      <c r="K32" s="2"/>
      <c r="L32" s="2"/>
      <c r="M32" s="2"/>
      <c r="N32" s="2"/>
      <c r="O32" s="2"/>
      <c r="P32" s="2"/>
      <c r="Q32" s="2"/>
      <c r="R32" s="2"/>
      <c r="S32" s="2"/>
      <c r="T32" s="2"/>
      <c r="U32" s="2"/>
    </row>
    <row r="33" spans="1:21" s="104" customFormat="1" ht="12.9" customHeight="1" x14ac:dyDescent="0.3">
      <c r="A33" s="102" t="s">
        <v>151</v>
      </c>
      <c r="G33" s="2"/>
      <c r="H33" s="2"/>
      <c r="I33" s="2"/>
      <c r="J33" s="2"/>
      <c r="K33" s="2"/>
      <c r="L33" s="2"/>
      <c r="M33" s="2"/>
      <c r="N33" s="2"/>
      <c r="O33" s="2"/>
      <c r="P33" s="2"/>
      <c r="Q33" s="2"/>
      <c r="R33" s="2"/>
      <c r="S33" s="2"/>
      <c r="T33" s="2"/>
      <c r="U33" s="2"/>
    </row>
    <row r="34" spans="1:21" s="104" customFormat="1" ht="12.9" customHeight="1" x14ac:dyDescent="0.3">
      <c r="A34" s="102" t="s">
        <v>25</v>
      </c>
      <c r="B34" s="106"/>
      <c r="C34" s="106"/>
      <c r="D34" s="106"/>
      <c r="E34" s="106"/>
      <c r="F34" s="106">
        <v>623</v>
      </c>
      <c r="G34" s="2"/>
      <c r="H34" s="2"/>
      <c r="I34" s="2"/>
      <c r="J34" s="2"/>
      <c r="K34" s="2"/>
      <c r="L34" s="2"/>
      <c r="M34" s="2"/>
      <c r="N34" s="2"/>
      <c r="O34" s="2"/>
      <c r="P34" s="2"/>
      <c r="Q34" s="2"/>
      <c r="R34" s="2"/>
      <c r="S34" s="2"/>
      <c r="T34" s="2"/>
      <c r="U34" s="2"/>
    </row>
    <row r="35" spans="1:21" s="104" customFormat="1" ht="12.9" customHeight="1" x14ac:dyDescent="0.3">
      <c r="A35" s="104" t="s">
        <v>24</v>
      </c>
      <c r="B35" s="175">
        <v>27500</v>
      </c>
      <c r="C35" s="175">
        <v>27500</v>
      </c>
      <c r="D35" s="175">
        <v>27500</v>
      </c>
      <c r="E35" s="175">
        <v>27500</v>
      </c>
      <c r="F35" s="175">
        <f>SUM(F27:F34)</f>
        <v>23304</v>
      </c>
      <c r="G35" s="2"/>
      <c r="H35" s="2"/>
      <c r="I35" s="2"/>
      <c r="J35" s="2"/>
      <c r="K35" s="2"/>
      <c r="L35" s="2"/>
      <c r="M35" s="2"/>
      <c r="N35" s="2"/>
      <c r="O35" s="2"/>
      <c r="P35" s="2"/>
      <c r="Q35" s="2"/>
      <c r="R35" s="2"/>
      <c r="S35" s="2"/>
      <c r="T35" s="2"/>
      <c r="U35" s="2"/>
    </row>
    <row r="36" spans="1:21" s="104" customFormat="1" ht="9" customHeight="1" x14ac:dyDescent="0.3">
      <c r="B36" s="107"/>
      <c r="C36" s="107"/>
      <c r="D36" s="107"/>
      <c r="E36" s="107"/>
      <c r="F36" s="107"/>
      <c r="G36" s="2"/>
      <c r="H36" s="2"/>
      <c r="I36" s="2"/>
      <c r="J36" s="2"/>
      <c r="K36" s="2"/>
      <c r="L36" s="2"/>
      <c r="M36" s="2"/>
      <c r="N36" s="2"/>
      <c r="O36" s="2"/>
      <c r="P36" s="2"/>
      <c r="Q36" s="2"/>
      <c r="R36" s="2"/>
      <c r="S36" s="2"/>
      <c r="T36" s="2"/>
      <c r="U36" s="2"/>
    </row>
    <row r="37" spans="1:21" s="104" customFormat="1" ht="12.9" customHeight="1" x14ac:dyDescent="0.3">
      <c r="A37" s="104" t="s">
        <v>283</v>
      </c>
      <c r="B37" s="107"/>
      <c r="C37" s="107"/>
      <c r="D37" s="107"/>
      <c r="E37" s="107"/>
      <c r="F37" s="107"/>
      <c r="G37" s="2"/>
      <c r="H37" s="2"/>
      <c r="I37" s="2"/>
      <c r="J37" s="2"/>
      <c r="K37" s="2"/>
      <c r="L37" s="2"/>
      <c r="M37" s="2"/>
      <c r="N37" s="2"/>
      <c r="O37" s="2"/>
      <c r="P37" s="2"/>
      <c r="Q37" s="2"/>
      <c r="R37" s="2"/>
      <c r="S37" s="2"/>
      <c r="T37" s="2"/>
      <c r="U37" s="2"/>
    </row>
    <row r="38" spans="1:21" s="104" customFormat="1" ht="12.9" customHeight="1" x14ac:dyDescent="0.3">
      <c r="A38" s="104" t="s">
        <v>284</v>
      </c>
      <c r="B38" s="106"/>
      <c r="C38" s="106"/>
      <c r="D38" s="106"/>
      <c r="E38" s="106"/>
      <c r="F38" s="106"/>
      <c r="G38" s="2"/>
      <c r="H38" s="2"/>
      <c r="I38" s="2"/>
      <c r="J38" s="2"/>
      <c r="K38" s="2"/>
      <c r="L38" s="2"/>
      <c r="M38" s="2"/>
      <c r="N38" s="2"/>
      <c r="O38" s="2"/>
      <c r="P38" s="2"/>
      <c r="Q38" s="2"/>
      <c r="R38" s="2"/>
      <c r="S38" s="2"/>
      <c r="T38" s="2"/>
      <c r="U38" s="2"/>
    </row>
    <row r="39" spans="1:21" s="104" customFormat="1" ht="7.5" customHeight="1" x14ac:dyDescent="0.3">
      <c r="B39" s="107"/>
      <c r="C39" s="107"/>
      <c r="D39" s="107"/>
      <c r="E39" s="107"/>
      <c r="F39" s="107"/>
      <c r="G39" s="2"/>
      <c r="H39" s="2"/>
      <c r="I39" s="2"/>
      <c r="J39" s="2"/>
      <c r="K39" s="2"/>
      <c r="L39" s="2"/>
      <c r="M39" s="2"/>
      <c r="N39" s="2"/>
      <c r="O39" s="2"/>
      <c r="P39" s="2"/>
      <c r="Q39" s="2"/>
      <c r="R39" s="2"/>
      <c r="S39" s="2"/>
      <c r="T39" s="2"/>
      <c r="U39" s="2"/>
    </row>
    <row r="40" spans="1:21" s="104" customFormat="1" ht="19.5" customHeight="1" thickBot="1" x14ac:dyDescent="0.35">
      <c r="A40" s="104" t="s">
        <v>49</v>
      </c>
      <c r="B40" s="108">
        <f>+B35+B24+B21+B38+B37+B23</f>
        <v>3681567</v>
      </c>
      <c r="C40" s="108">
        <f>+C35+C24+C21+C38+C37+C23</f>
        <v>3637984</v>
      </c>
      <c r="D40" s="108">
        <f>+D35+D24+D21+D38+D37+D23</f>
        <v>3589990.2899999996</v>
      </c>
      <c r="E40" s="108">
        <f>+E35+E24+E21+E38+E37+E23</f>
        <v>3491994.67</v>
      </c>
      <c r="F40" s="108">
        <f>+F35+F24+F21+F38+F37+F23</f>
        <v>3604298</v>
      </c>
      <c r="G40" s="2"/>
      <c r="H40" s="2"/>
      <c r="I40" s="2"/>
      <c r="J40" s="2"/>
      <c r="K40" s="2"/>
      <c r="L40" s="2"/>
      <c r="M40" s="2"/>
      <c r="N40" s="2"/>
      <c r="O40" s="2"/>
      <c r="P40" s="2"/>
      <c r="Q40" s="2"/>
      <c r="R40" s="2"/>
      <c r="S40" s="2"/>
      <c r="T40" s="2"/>
      <c r="U40" s="2"/>
    </row>
    <row r="41" spans="1:21" ht="12.9" customHeight="1" thickTop="1" x14ac:dyDescent="0.3">
      <c r="B41" s="102" t="s">
        <v>15</v>
      </c>
      <c r="C41" s="102" t="s">
        <v>15</v>
      </c>
      <c r="D41" s="102" t="s">
        <v>15</v>
      </c>
      <c r="E41" s="102" t="s">
        <v>15</v>
      </c>
      <c r="F41" s="102" t="s">
        <v>15</v>
      </c>
    </row>
    <row r="42" spans="1:21" s="101" customFormat="1" ht="12.9" customHeight="1" x14ac:dyDescent="0.3">
      <c r="A42" s="216" t="s">
        <v>19</v>
      </c>
      <c r="B42" s="217"/>
      <c r="C42" s="217"/>
      <c r="D42" s="217"/>
      <c r="G42" s="78"/>
      <c r="H42" s="78"/>
      <c r="I42" s="78"/>
      <c r="J42" s="78"/>
      <c r="K42" s="78"/>
      <c r="L42" s="78"/>
      <c r="M42" s="78"/>
      <c r="N42" s="78"/>
      <c r="O42" s="78"/>
      <c r="P42" s="78"/>
      <c r="Q42" s="78"/>
      <c r="R42" s="78"/>
      <c r="S42" s="78"/>
      <c r="T42" s="78"/>
      <c r="U42" s="78"/>
    </row>
    <row r="43" spans="1:21" ht="9.75" customHeight="1" x14ac:dyDescent="0.3">
      <c r="A43" s="104"/>
    </row>
    <row r="44" spans="1:21" ht="12.6" customHeight="1" x14ac:dyDescent="0.3">
      <c r="A44" s="217" t="s">
        <v>89</v>
      </c>
      <c r="B44" s="217"/>
      <c r="C44" s="217"/>
      <c r="D44" s="217"/>
      <c r="E44" s="101"/>
      <c r="F44" s="101"/>
    </row>
    <row r="45" spans="1:21" s="78" customFormat="1" ht="12.6" customHeight="1" x14ac:dyDescent="0.3">
      <c r="A45" s="75" t="s">
        <v>231</v>
      </c>
      <c r="B45" s="78">
        <v>1044200</v>
      </c>
      <c r="C45" s="78">
        <v>1033930</v>
      </c>
      <c r="D45" s="78">
        <v>1033930</v>
      </c>
      <c r="E45" s="78">
        <v>1046172</v>
      </c>
      <c r="F45" s="78">
        <v>966683</v>
      </c>
      <c r="G45" s="78" t="s">
        <v>15</v>
      </c>
    </row>
    <row r="46" spans="1:21" s="78" customFormat="1" ht="12.6" customHeight="1" x14ac:dyDescent="0.3">
      <c r="A46" s="75" t="s">
        <v>233</v>
      </c>
      <c r="B46" s="78">
        <v>25900</v>
      </c>
      <c r="C46" s="78">
        <v>32425</v>
      </c>
      <c r="D46" s="78">
        <v>32050</v>
      </c>
      <c r="E46" s="78">
        <v>25750</v>
      </c>
      <c r="F46" s="78">
        <v>36341</v>
      </c>
      <c r="G46" s="78" t="s">
        <v>15</v>
      </c>
      <c r="H46" s="78" t="s">
        <v>15</v>
      </c>
    </row>
    <row r="47" spans="1:21" s="78" customFormat="1" ht="12.6" customHeight="1" x14ac:dyDescent="0.3">
      <c r="A47" s="75" t="s">
        <v>369</v>
      </c>
      <c r="B47" s="78">
        <v>0</v>
      </c>
      <c r="C47" s="78">
        <v>5515</v>
      </c>
      <c r="D47" s="78">
        <v>7325</v>
      </c>
      <c r="G47" s="78" t="s">
        <v>15</v>
      </c>
    </row>
    <row r="48" spans="1:21" s="78" customFormat="1" ht="12.6" customHeight="1" x14ac:dyDescent="0.3">
      <c r="A48" s="75" t="s">
        <v>234</v>
      </c>
      <c r="B48" s="78">
        <f>'17-18 wo cmo'!D6</f>
        <v>19000</v>
      </c>
      <c r="C48" s="78">
        <v>26000</v>
      </c>
      <c r="D48" s="78">
        <v>26000</v>
      </c>
      <c r="E48" s="78">
        <v>26000</v>
      </c>
      <c r="F48" s="78">
        <v>21010</v>
      </c>
    </row>
    <row r="49" spans="1:21" ht="12.9" customHeight="1" x14ac:dyDescent="0.3">
      <c r="A49" s="75" t="s">
        <v>314</v>
      </c>
      <c r="B49" s="64" t="str">
        <f>'17-18 wo cmo'!D8</f>
        <v xml:space="preserve"> </v>
      </c>
      <c r="C49" s="64">
        <v>42810</v>
      </c>
      <c r="D49" s="64">
        <v>42810</v>
      </c>
      <c r="E49" s="64">
        <v>36405</v>
      </c>
      <c r="F49" s="64">
        <v>36405</v>
      </c>
    </row>
    <row r="50" spans="1:21" s="78" customFormat="1" ht="12.6" customHeight="1" x14ac:dyDescent="0.3">
      <c r="A50" s="75" t="s">
        <v>122</v>
      </c>
      <c r="B50" s="78">
        <v>16200</v>
      </c>
      <c r="C50" s="78">
        <v>16410</v>
      </c>
      <c r="D50" s="78">
        <v>16410</v>
      </c>
      <c r="E50" s="78">
        <v>15395</v>
      </c>
      <c r="F50" s="78">
        <v>14994</v>
      </c>
    </row>
    <row r="51" spans="1:21" s="78" customFormat="1" ht="12.6" customHeight="1" x14ac:dyDescent="0.3">
      <c r="A51" s="75" t="s">
        <v>232</v>
      </c>
      <c r="B51" s="78">
        <v>222300</v>
      </c>
      <c r="C51" s="78">
        <v>210703</v>
      </c>
      <c r="D51" s="78">
        <v>210703</v>
      </c>
      <c r="E51" s="78">
        <v>213433</v>
      </c>
      <c r="F51" s="78">
        <v>186254</v>
      </c>
    </row>
    <row r="52" spans="1:21" s="78" customFormat="1" ht="12.6" customHeight="1" x14ac:dyDescent="0.3">
      <c r="A52" s="75" t="s">
        <v>189</v>
      </c>
      <c r="B52" s="103">
        <v>282100</v>
      </c>
      <c r="C52" s="103">
        <v>245300</v>
      </c>
      <c r="D52" s="103">
        <v>245300</v>
      </c>
      <c r="E52" s="103">
        <v>263121</v>
      </c>
      <c r="F52" s="103">
        <v>202407</v>
      </c>
    </row>
    <row r="53" spans="1:21" s="101" customFormat="1" ht="12.9" customHeight="1" x14ac:dyDescent="0.3">
      <c r="A53" s="78" t="s">
        <v>139</v>
      </c>
      <c r="B53" s="78">
        <f>SUM(B45:B52)</f>
        <v>1609700</v>
      </c>
      <c r="C53" s="78">
        <f>SUM(C45:C52)</f>
        <v>1613093</v>
      </c>
      <c r="D53" s="78">
        <f>SUM(D45:D52)</f>
        <v>1614528</v>
      </c>
      <c r="E53" s="78">
        <f>SUM(E45:E52)</f>
        <v>1626276</v>
      </c>
      <c r="F53" s="78">
        <f>SUM(F45:F52)</f>
        <v>1464094</v>
      </c>
      <c r="G53" s="78"/>
      <c r="H53" s="78"/>
      <c r="I53" s="78"/>
      <c r="J53" s="78"/>
      <c r="K53" s="78"/>
      <c r="L53" s="78"/>
      <c r="M53" s="78"/>
      <c r="N53" s="78"/>
      <c r="O53" s="78"/>
      <c r="P53" s="78"/>
      <c r="Q53" s="78"/>
      <c r="R53" s="78"/>
      <c r="S53" s="78"/>
      <c r="T53" s="78"/>
      <c r="U53" s="78"/>
    </row>
    <row r="54" spans="1:21" s="101" customFormat="1" ht="12.9" customHeight="1" x14ac:dyDescent="0.3">
      <c r="A54" s="78" t="s">
        <v>456</v>
      </c>
      <c r="B54" s="78"/>
      <c r="C54" s="78"/>
      <c r="D54" s="78"/>
      <c r="E54" s="78"/>
      <c r="F54" s="78"/>
      <c r="G54" s="78"/>
      <c r="H54" s="78"/>
      <c r="I54" s="78"/>
      <c r="J54" s="78"/>
      <c r="K54" s="78"/>
      <c r="L54" s="78"/>
      <c r="M54" s="78"/>
      <c r="N54" s="78"/>
      <c r="O54" s="78"/>
      <c r="P54" s="78"/>
      <c r="Q54" s="78"/>
      <c r="R54" s="78"/>
      <c r="S54" s="78"/>
      <c r="T54" s="78"/>
      <c r="U54" s="78"/>
    </row>
    <row r="55" spans="1:21" ht="12.9" customHeight="1" x14ac:dyDescent="0.3">
      <c r="A55" s="78" t="s">
        <v>82</v>
      </c>
      <c r="B55" s="77">
        <v>33000</v>
      </c>
      <c r="C55" s="77">
        <v>33000</v>
      </c>
      <c r="D55" s="77">
        <v>33000</v>
      </c>
      <c r="E55" s="77">
        <v>33000</v>
      </c>
      <c r="F55" s="77">
        <v>24540</v>
      </c>
    </row>
    <row r="56" spans="1:21" ht="12.9" customHeight="1" x14ac:dyDescent="0.3">
      <c r="A56" s="78" t="s">
        <v>83</v>
      </c>
      <c r="B56" s="82">
        <f>243*520</f>
        <v>126360</v>
      </c>
      <c r="C56" s="82">
        <f>243*520</f>
        <v>126360</v>
      </c>
      <c r="D56" s="82">
        <f>243*520</f>
        <v>126360</v>
      </c>
      <c r="E56" s="82">
        <f>240*520</f>
        <v>124800</v>
      </c>
      <c r="F56" s="82">
        <v>146068</v>
      </c>
      <c r="G56" s="82" t="s">
        <v>331</v>
      </c>
    </row>
    <row r="57" spans="1:21" ht="12.9" customHeight="1" x14ac:dyDescent="0.3">
      <c r="A57" s="78" t="s">
        <v>84</v>
      </c>
      <c r="B57" s="82">
        <v>35000</v>
      </c>
      <c r="C57" s="82">
        <v>38000</v>
      </c>
      <c r="D57" s="82">
        <v>38000</v>
      </c>
      <c r="E57" s="82">
        <v>38000</v>
      </c>
      <c r="F57" s="82">
        <f>45584+425</f>
        <v>46009</v>
      </c>
      <c r="G57" s="78" t="s">
        <v>15</v>
      </c>
    </row>
    <row r="58" spans="1:21" ht="12.9" customHeight="1" x14ac:dyDescent="0.3">
      <c r="A58" s="78" t="s">
        <v>345</v>
      </c>
      <c r="B58" s="82">
        <v>3000</v>
      </c>
      <c r="C58" s="82">
        <v>3310</v>
      </c>
      <c r="D58" s="82">
        <v>1500</v>
      </c>
      <c r="E58" s="82"/>
      <c r="F58" s="82"/>
    </row>
    <row r="59" spans="1:21" ht="12.9" customHeight="1" x14ac:dyDescent="0.3">
      <c r="A59" s="78" t="s">
        <v>288</v>
      </c>
      <c r="B59" s="82">
        <v>3000</v>
      </c>
      <c r="C59" s="82">
        <v>3000</v>
      </c>
      <c r="D59" s="82">
        <v>3000</v>
      </c>
      <c r="E59" s="82">
        <v>3000</v>
      </c>
      <c r="F59" s="82">
        <v>2050</v>
      </c>
      <c r="G59" s="78" t="s">
        <v>367</v>
      </c>
    </row>
    <row r="60" spans="1:21" ht="12.9" customHeight="1" x14ac:dyDescent="0.3">
      <c r="A60" s="78" t="s">
        <v>85</v>
      </c>
      <c r="B60" s="82">
        <v>28000</v>
      </c>
      <c r="C60" s="82">
        <v>28000</v>
      </c>
      <c r="D60" s="82">
        <v>28000</v>
      </c>
      <c r="E60" s="82">
        <v>28000</v>
      </c>
      <c r="F60" s="82">
        <v>27070</v>
      </c>
    </row>
    <row r="61" spans="1:21" ht="12.9" customHeight="1" x14ac:dyDescent="0.3">
      <c r="A61" s="78" t="s">
        <v>90</v>
      </c>
      <c r="B61" s="81">
        <v>2550</v>
      </c>
      <c r="C61" s="81">
        <v>2550</v>
      </c>
      <c r="D61" s="81">
        <v>2550</v>
      </c>
      <c r="E61" s="81">
        <v>2550</v>
      </c>
      <c r="F61" s="81">
        <v>2549</v>
      </c>
      <c r="G61" s="78" t="s">
        <v>15</v>
      </c>
    </row>
    <row r="62" spans="1:21" s="104" customFormat="1" ht="12.9" customHeight="1" x14ac:dyDescent="0.3">
      <c r="A62" s="104" t="s">
        <v>31</v>
      </c>
      <c r="B62" s="105">
        <f>SUM(B53:B61)</f>
        <v>1840610</v>
      </c>
      <c r="C62" s="105">
        <f>SUM(C53:C61)</f>
        <v>1847313</v>
      </c>
      <c r="D62" s="105">
        <f>SUM(D53:D61)</f>
        <v>1846938</v>
      </c>
      <c r="E62" s="105">
        <f>SUM(E53:E61)</f>
        <v>1855626</v>
      </c>
      <c r="F62" s="105">
        <f>SUM(F53:F61)</f>
        <v>1712380</v>
      </c>
      <c r="G62" s="2" t="s">
        <v>15</v>
      </c>
      <c r="H62" s="2"/>
      <c r="I62" s="2"/>
      <c r="J62" s="2"/>
      <c r="K62" s="2"/>
      <c r="L62" s="2"/>
      <c r="M62" s="2"/>
      <c r="N62" s="2"/>
      <c r="O62" s="2"/>
      <c r="P62" s="2"/>
      <c r="Q62" s="2"/>
      <c r="R62" s="2"/>
      <c r="S62" s="2"/>
      <c r="T62" s="2"/>
      <c r="U62" s="2"/>
    </row>
    <row r="63" spans="1:21" s="104" customFormat="1" ht="8.25" customHeight="1" x14ac:dyDescent="0.3">
      <c r="A63" s="104" t="s">
        <v>15</v>
      </c>
      <c r="B63" s="105"/>
      <c r="C63" s="105"/>
      <c r="D63" s="105"/>
      <c r="E63" s="105"/>
      <c r="F63" s="105"/>
      <c r="G63" s="2"/>
      <c r="H63" s="2"/>
      <c r="I63" s="2"/>
      <c r="J63" s="2"/>
      <c r="K63" s="2"/>
      <c r="L63" s="2"/>
      <c r="M63" s="2"/>
      <c r="N63" s="2"/>
      <c r="O63" s="2"/>
      <c r="P63" s="2"/>
      <c r="Q63" s="2"/>
      <c r="R63" s="2"/>
      <c r="S63" s="2"/>
      <c r="T63" s="2"/>
      <c r="U63" s="2"/>
    </row>
    <row r="64" spans="1:21" s="1" customFormat="1" ht="12.9" customHeight="1" x14ac:dyDescent="0.3">
      <c r="A64" s="216" t="s">
        <v>35</v>
      </c>
      <c r="B64" s="222"/>
      <c r="C64" s="222"/>
      <c r="D64" s="222"/>
      <c r="E64" s="109"/>
      <c r="F64" s="109"/>
      <c r="G64" s="2" t="s">
        <v>15</v>
      </c>
      <c r="H64" s="2"/>
      <c r="I64" s="2"/>
      <c r="J64" s="2"/>
      <c r="K64" s="2"/>
      <c r="L64" s="2"/>
      <c r="M64" s="2"/>
      <c r="N64" s="2"/>
      <c r="O64" s="2"/>
      <c r="P64" s="2"/>
      <c r="Q64" s="2"/>
      <c r="R64" s="2"/>
      <c r="S64" s="2"/>
      <c r="T64" s="2"/>
      <c r="U64" s="2"/>
    </row>
    <row r="65" spans="1:7" s="2" customFormat="1" ht="12.9" customHeight="1" x14ac:dyDescent="0.3">
      <c r="A65" s="78" t="s">
        <v>1</v>
      </c>
      <c r="B65" s="79">
        <v>140350</v>
      </c>
      <c r="C65" s="79">
        <v>129450</v>
      </c>
      <c r="D65" s="79">
        <v>129450</v>
      </c>
      <c r="E65" s="79">
        <v>125724</v>
      </c>
      <c r="F65" s="79">
        <v>121032</v>
      </c>
    </row>
    <row r="66" spans="1:7" s="2" customFormat="1" ht="12.9" customHeight="1" x14ac:dyDescent="0.3">
      <c r="A66" s="78" t="s">
        <v>122</v>
      </c>
      <c r="B66" s="79">
        <v>2300</v>
      </c>
      <c r="C66" s="79">
        <v>1885</v>
      </c>
      <c r="D66" s="79">
        <v>1885</v>
      </c>
      <c r="E66" s="79">
        <v>1823</v>
      </c>
      <c r="F66" s="79">
        <v>1746</v>
      </c>
    </row>
    <row r="67" spans="1:7" s="2" customFormat="1" ht="12.9" customHeight="1" x14ac:dyDescent="0.3">
      <c r="A67" s="78" t="s">
        <v>232</v>
      </c>
      <c r="B67" s="79">
        <v>31000</v>
      </c>
      <c r="C67" s="79">
        <v>25165</v>
      </c>
      <c r="D67" s="79">
        <v>25165</v>
      </c>
      <c r="E67" s="79">
        <v>24390</v>
      </c>
      <c r="F67" s="79">
        <v>22603</v>
      </c>
    </row>
    <row r="68" spans="1:7" s="2" customFormat="1" ht="12.9" customHeight="1" x14ac:dyDescent="0.3">
      <c r="A68" s="78" t="s">
        <v>189</v>
      </c>
      <c r="B68" s="79">
        <v>19350</v>
      </c>
      <c r="C68" s="79">
        <v>23800</v>
      </c>
      <c r="D68" s="79">
        <v>23800</v>
      </c>
      <c r="E68" s="79">
        <v>25415</v>
      </c>
      <c r="F68" s="79">
        <v>10431</v>
      </c>
    </row>
    <row r="69" spans="1:7" s="2" customFormat="1" ht="12.9" customHeight="1" x14ac:dyDescent="0.3">
      <c r="A69" s="78" t="s">
        <v>125</v>
      </c>
      <c r="B69" s="103">
        <v>15000</v>
      </c>
      <c r="C69" s="103">
        <v>5000</v>
      </c>
      <c r="D69" s="103">
        <v>5000</v>
      </c>
      <c r="E69" s="103">
        <v>5000</v>
      </c>
      <c r="F69" s="103"/>
      <c r="G69" s="2" t="s">
        <v>15</v>
      </c>
    </row>
    <row r="70" spans="1:7" s="78" customFormat="1" ht="12.9" customHeight="1" x14ac:dyDescent="0.3">
      <c r="A70" s="78" t="s">
        <v>139</v>
      </c>
      <c r="B70" s="78">
        <f>SUM(B65:B69)</f>
        <v>208000</v>
      </c>
      <c r="C70" s="78">
        <f>SUM(C65:C69)</f>
        <v>185300</v>
      </c>
      <c r="D70" s="78">
        <f>SUM(D65:D69)</f>
        <v>185300</v>
      </c>
      <c r="E70" s="78">
        <f>SUM(E65:E69)</f>
        <v>182352</v>
      </c>
      <c r="F70" s="78">
        <f>SUM(F65:F69)</f>
        <v>155812</v>
      </c>
    </row>
    <row r="71" spans="1:7" s="78" customFormat="1" ht="12.9" customHeight="1" x14ac:dyDescent="0.3">
      <c r="A71" s="78" t="s">
        <v>196</v>
      </c>
      <c r="B71" s="78">
        <v>8333</v>
      </c>
      <c r="C71" s="78">
        <v>8333</v>
      </c>
      <c r="D71" s="78">
        <v>8333</v>
      </c>
      <c r="E71" s="78">
        <v>8333</v>
      </c>
      <c r="F71" s="78">
        <v>3943</v>
      </c>
    </row>
    <row r="72" spans="1:7" ht="12.75" customHeight="1" x14ac:dyDescent="0.3">
      <c r="A72" s="78" t="s">
        <v>348</v>
      </c>
      <c r="B72" s="77">
        <v>8000</v>
      </c>
      <c r="C72" s="77">
        <v>18229</v>
      </c>
      <c r="D72" s="77">
        <v>15058</v>
      </c>
      <c r="E72" s="77">
        <v>7000</v>
      </c>
      <c r="F72" s="77">
        <v>17923</v>
      </c>
      <c r="G72" s="78" t="s">
        <v>368</v>
      </c>
    </row>
    <row r="73" spans="1:7" ht="12.75" customHeight="1" x14ac:dyDescent="0.3">
      <c r="A73" s="78" t="s">
        <v>103</v>
      </c>
      <c r="B73" s="77">
        <v>5425</v>
      </c>
      <c r="C73" s="77">
        <v>5425</v>
      </c>
      <c r="D73" s="77">
        <v>5425</v>
      </c>
      <c r="E73" s="77">
        <v>5425</v>
      </c>
      <c r="F73" s="77">
        <v>7070</v>
      </c>
    </row>
    <row r="74" spans="1:7" ht="12.75" customHeight="1" x14ac:dyDescent="0.3">
      <c r="A74" s="78" t="s">
        <v>416</v>
      </c>
      <c r="B74" s="77">
        <v>2000</v>
      </c>
      <c r="C74" s="77">
        <v>1771</v>
      </c>
      <c r="D74" s="77"/>
      <c r="E74" s="77"/>
      <c r="F74" s="77"/>
      <c r="G74" s="78" t="s">
        <v>428</v>
      </c>
    </row>
    <row r="75" spans="1:7" ht="12.9" customHeight="1" x14ac:dyDescent="0.3">
      <c r="A75" s="78" t="s">
        <v>62</v>
      </c>
      <c r="B75" s="81">
        <v>17000</v>
      </c>
      <c r="C75" s="81">
        <v>17000</v>
      </c>
      <c r="D75" s="81">
        <v>17000</v>
      </c>
      <c r="E75" s="81">
        <v>17000</v>
      </c>
      <c r="F75" s="81">
        <v>15361</v>
      </c>
    </row>
    <row r="76" spans="1:7" s="2" customFormat="1" ht="12.9" customHeight="1" x14ac:dyDescent="0.3">
      <c r="A76" s="2" t="s">
        <v>36</v>
      </c>
      <c r="B76" s="110">
        <f>SUM(B70:B75)</f>
        <v>248758</v>
      </c>
      <c r="C76" s="110">
        <f>SUM(C70:C75)</f>
        <v>236058</v>
      </c>
      <c r="D76" s="110">
        <f>SUM(D70:D75)</f>
        <v>231116</v>
      </c>
      <c r="E76" s="110">
        <f>SUM(E70:E75)</f>
        <v>220110</v>
      </c>
      <c r="F76" s="110">
        <f>SUM(F70:F75)</f>
        <v>200109</v>
      </c>
    </row>
    <row r="77" spans="1:7" ht="11.25" customHeight="1" x14ac:dyDescent="0.3">
      <c r="A77" s="78"/>
      <c r="B77" s="82"/>
      <c r="C77" s="82"/>
      <c r="D77" s="82"/>
      <c r="E77" s="82"/>
      <c r="F77" s="82"/>
    </row>
    <row r="78" spans="1:7" s="2" customFormat="1" ht="12.9" customHeight="1" x14ac:dyDescent="0.3">
      <c r="A78" s="216" t="s">
        <v>37</v>
      </c>
      <c r="B78" s="222"/>
      <c r="C78" s="222"/>
      <c r="D78" s="222"/>
      <c r="E78" s="109"/>
      <c r="F78" s="109"/>
    </row>
    <row r="79" spans="1:7" s="2" customFormat="1" ht="12.9" customHeight="1" x14ac:dyDescent="0.3">
      <c r="A79" s="78" t="s">
        <v>1</v>
      </c>
      <c r="B79" s="79">
        <v>104100</v>
      </c>
      <c r="C79" s="79">
        <v>62105</v>
      </c>
      <c r="D79" s="79">
        <v>62105</v>
      </c>
      <c r="E79" s="79">
        <v>62948</v>
      </c>
      <c r="F79" s="79">
        <v>59369</v>
      </c>
      <c r="G79" s="2" t="s">
        <v>15</v>
      </c>
    </row>
    <row r="80" spans="1:7" s="2" customFormat="1" ht="12.9" customHeight="1" x14ac:dyDescent="0.3">
      <c r="A80" s="78" t="s">
        <v>122</v>
      </c>
      <c r="B80" s="79">
        <v>1510</v>
      </c>
      <c r="C80" s="79">
        <v>901</v>
      </c>
      <c r="D80" s="79">
        <v>901</v>
      </c>
      <c r="E80" s="79">
        <v>913</v>
      </c>
      <c r="F80" s="79">
        <v>821</v>
      </c>
    </row>
    <row r="81" spans="1:21" s="2" customFormat="1" ht="12.9" customHeight="1" x14ac:dyDescent="0.3">
      <c r="A81" s="78" t="s">
        <v>232</v>
      </c>
      <c r="B81" s="79">
        <v>20750</v>
      </c>
      <c r="C81" s="79">
        <v>12050</v>
      </c>
      <c r="D81" s="79">
        <v>12050</v>
      </c>
      <c r="E81" s="79">
        <v>12212</v>
      </c>
      <c r="F81" s="79">
        <v>10616</v>
      </c>
    </row>
    <row r="82" spans="1:21" s="2" customFormat="1" ht="12.9" customHeight="1" x14ac:dyDescent="0.3">
      <c r="A82" s="78" t="s">
        <v>189</v>
      </c>
      <c r="B82" s="103">
        <v>22200</v>
      </c>
      <c r="C82" s="103">
        <v>12300</v>
      </c>
      <c r="D82" s="103">
        <v>12300</v>
      </c>
      <c r="E82" s="103">
        <v>14950</v>
      </c>
      <c r="F82" s="103">
        <v>11076</v>
      </c>
    </row>
    <row r="83" spans="1:21" ht="12.9" customHeight="1" x14ac:dyDescent="0.3">
      <c r="A83" s="78" t="s">
        <v>139</v>
      </c>
      <c r="B83" s="102">
        <f>SUM(B79:B82)</f>
        <v>148560</v>
      </c>
      <c r="C83" s="102">
        <f>SUM(C79:C82)</f>
        <v>87356</v>
      </c>
      <c r="D83" s="102">
        <f>SUM(D79:D82)</f>
        <v>87356</v>
      </c>
      <c r="E83" s="102">
        <f>SUM(E79:E82)</f>
        <v>91023</v>
      </c>
      <c r="F83" s="102">
        <v>81881</v>
      </c>
    </row>
    <row r="84" spans="1:21" ht="12.9" customHeight="1" x14ac:dyDescent="0.3">
      <c r="A84" s="82" t="s">
        <v>2</v>
      </c>
      <c r="B84" s="102">
        <v>11042</v>
      </c>
      <c r="C84" s="102">
        <f>8050+13000-9800</f>
        <v>11250</v>
      </c>
      <c r="D84" s="102">
        <f>8050+13000-9800</f>
        <v>11250</v>
      </c>
      <c r="E84" s="102">
        <f>8050+13000-9800</f>
        <v>11250</v>
      </c>
      <c r="F84" s="102">
        <v>18986</v>
      </c>
      <c r="G84" s="78" t="s">
        <v>15</v>
      </c>
    </row>
    <row r="85" spans="1:21" ht="12.9" customHeight="1" x14ac:dyDescent="0.3">
      <c r="A85" s="82" t="s">
        <v>425</v>
      </c>
      <c r="B85" s="102">
        <v>5000</v>
      </c>
      <c r="C85" s="102">
        <v>10000</v>
      </c>
      <c r="G85" s="78" t="s">
        <v>15</v>
      </c>
    </row>
    <row r="86" spans="1:21" ht="12.9" customHeight="1" x14ac:dyDescent="0.3">
      <c r="A86" s="78" t="s">
        <v>39</v>
      </c>
      <c r="B86" s="82">
        <v>2000</v>
      </c>
      <c r="C86" s="82">
        <v>2000</v>
      </c>
      <c r="D86" s="82">
        <v>2000</v>
      </c>
      <c r="E86" s="82">
        <v>2000</v>
      </c>
      <c r="F86" s="82"/>
    </row>
    <row r="87" spans="1:21" ht="12.9" customHeight="1" x14ac:dyDescent="0.3">
      <c r="A87" s="78" t="s">
        <v>38</v>
      </c>
      <c r="B87" s="81">
        <v>15000</v>
      </c>
      <c r="C87" s="81">
        <v>17000</v>
      </c>
      <c r="D87" s="81">
        <v>17000</v>
      </c>
      <c r="E87" s="81">
        <v>17000</v>
      </c>
      <c r="F87" s="81">
        <v>7401</v>
      </c>
    </row>
    <row r="88" spans="1:21" s="2" customFormat="1" ht="12.9" customHeight="1" x14ac:dyDescent="0.3">
      <c r="A88" s="2" t="s">
        <v>56</v>
      </c>
      <c r="B88" s="110">
        <f>SUM(B83:B87)</f>
        <v>181602</v>
      </c>
      <c r="C88" s="110">
        <f>SUM(C83:C87)</f>
        <v>127606</v>
      </c>
      <c r="D88" s="110">
        <f>SUM(D83:D87)</f>
        <v>117606</v>
      </c>
      <c r="E88" s="110">
        <f>SUM(E83:E87)</f>
        <v>121273</v>
      </c>
      <c r="F88" s="110">
        <f>SUM(F83:F87)</f>
        <v>108268</v>
      </c>
    </row>
    <row r="89" spans="1:21" ht="6.75" customHeight="1" x14ac:dyDescent="0.3">
      <c r="B89" s="79"/>
      <c r="C89" s="79"/>
      <c r="D89" s="79"/>
      <c r="E89" s="79"/>
      <c r="F89" s="79"/>
    </row>
    <row r="90" spans="1:21" s="1" customFormat="1" ht="12.9" customHeight="1" x14ac:dyDescent="0.3">
      <c r="A90" s="216" t="s">
        <v>40</v>
      </c>
      <c r="B90" s="222"/>
      <c r="C90" s="222"/>
      <c r="D90" s="222"/>
      <c r="E90" s="109"/>
      <c r="F90" s="109"/>
      <c r="G90" s="2"/>
      <c r="H90" s="2"/>
      <c r="I90" s="2"/>
      <c r="J90" s="2"/>
      <c r="K90" s="2"/>
      <c r="L90" s="2"/>
      <c r="M90" s="2"/>
      <c r="N90" s="2"/>
      <c r="O90" s="2"/>
      <c r="P90" s="2"/>
      <c r="Q90" s="2"/>
      <c r="R90" s="2"/>
      <c r="S90" s="2"/>
      <c r="T90" s="2"/>
      <c r="U90" s="2"/>
    </row>
    <row r="91" spans="1:21" ht="12.9" customHeight="1" x14ac:dyDescent="0.3">
      <c r="A91" s="78" t="s">
        <v>164</v>
      </c>
      <c r="B91" s="64">
        <v>43596</v>
      </c>
      <c r="C91" s="64">
        <v>41295</v>
      </c>
      <c r="D91" s="64">
        <v>41295</v>
      </c>
      <c r="E91" s="64">
        <v>43186</v>
      </c>
      <c r="F91" s="64">
        <v>48336</v>
      </c>
    </row>
    <row r="92" spans="1:21" ht="12.9" customHeight="1" x14ac:dyDescent="0.3">
      <c r="A92" s="78" t="s">
        <v>101</v>
      </c>
      <c r="B92" s="64">
        <v>177439</v>
      </c>
      <c r="C92" s="64">
        <v>174476</v>
      </c>
      <c r="D92" s="64">
        <v>172349</v>
      </c>
      <c r="E92" s="64">
        <v>168063</v>
      </c>
      <c r="F92" s="64">
        <v>172001</v>
      </c>
    </row>
    <row r="93" spans="1:21" ht="12.9" customHeight="1" x14ac:dyDescent="0.3">
      <c r="A93" s="78" t="s">
        <v>213</v>
      </c>
      <c r="B93" s="64">
        <v>6000</v>
      </c>
      <c r="C93" s="64">
        <v>5000</v>
      </c>
      <c r="D93" s="64">
        <v>2000</v>
      </c>
      <c r="E93" s="64">
        <f>3*E2</f>
        <v>1323</v>
      </c>
      <c r="F93" s="64">
        <v>2129</v>
      </c>
      <c r="G93" s="64" t="s">
        <v>363</v>
      </c>
    </row>
    <row r="94" spans="1:21" ht="12.9" customHeight="1" x14ac:dyDescent="0.3">
      <c r="A94" s="78" t="s">
        <v>4</v>
      </c>
      <c r="B94" s="64">
        <v>3000</v>
      </c>
      <c r="C94" s="64">
        <v>3000</v>
      </c>
      <c r="D94" s="64">
        <v>3000</v>
      </c>
      <c r="E94" s="64">
        <v>3000</v>
      </c>
      <c r="F94" s="64">
        <v>3413</v>
      </c>
    </row>
    <row r="95" spans="1:21" ht="12.9" customHeight="1" x14ac:dyDescent="0.3">
      <c r="A95" s="78" t="s">
        <v>42</v>
      </c>
      <c r="B95" s="78">
        <v>6000</v>
      </c>
      <c r="C95" s="78">
        <v>6000</v>
      </c>
      <c r="D95" s="78">
        <v>6000</v>
      </c>
      <c r="E95" s="78">
        <v>6000</v>
      </c>
      <c r="F95" s="78">
        <v>3833</v>
      </c>
    </row>
    <row r="96" spans="1:21" ht="12.9" customHeight="1" x14ac:dyDescent="0.3">
      <c r="A96" s="78" t="s">
        <v>5</v>
      </c>
      <c r="B96" s="76">
        <v>0</v>
      </c>
      <c r="C96" s="76">
        <v>0</v>
      </c>
      <c r="D96" s="76">
        <v>0</v>
      </c>
      <c r="E96" s="76">
        <v>0</v>
      </c>
      <c r="F96" s="76">
        <v>595</v>
      </c>
    </row>
    <row r="97" spans="1:21" ht="12.9" customHeight="1" x14ac:dyDescent="0.3">
      <c r="A97" s="78" t="s">
        <v>3</v>
      </c>
      <c r="B97" s="103">
        <f>175*B2</f>
        <v>77525</v>
      </c>
      <c r="C97" s="103">
        <f>175*C2</f>
        <v>77700</v>
      </c>
      <c r="D97" s="103">
        <f>175*D2</f>
        <v>77525</v>
      </c>
      <c r="E97" s="103">
        <f>175*E2</f>
        <v>77175</v>
      </c>
      <c r="F97" s="103">
        <v>73578</v>
      </c>
      <c r="G97" s="64" t="s">
        <v>244</v>
      </c>
    </row>
    <row r="98" spans="1:21" s="2" customFormat="1" ht="12.9" customHeight="1" x14ac:dyDescent="0.3">
      <c r="A98" s="2" t="s">
        <v>41</v>
      </c>
      <c r="B98" s="110">
        <f>SUM(B91:B97)</f>
        <v>313560</v>
      </c>
      <c r="C98" s="110">
        <f>SUM(C91:C97)</f>
        <v>307471</v>
      </c>
      <c r="D98" s="110">
        <f>SUM(D91:D97)</f>
        <v>302169</v>
      </c>
      <c r="E98" s="110">
        <f>SUM(E91:E97)</f>
        <v>298747</v>
      </c>
      <c r="F98" s="110">
        <f>SUM(F91:F97)</f>
        <v>303885</v>
      </c>
    </row>
    <row r="99" spans="1:21" s="104" customFormat="1" ht="10.5" customHeight="1" x14ac:dyDescent="0.3">
      <c r="B99" s="110"/>
      <c r="C99" s="110"/>
      <c r="D99" s="110"/>
      <c r="E99" s="110"/>
      <c r="F99" s="110"/>
      <c r="G99" s="2"/>
      <c r="H99" s="2"/>
      <c r="I99" s="2"/>
      <c r="J99" s="2"/>
      <c r="K99" s="2"/>
      <c r="L99" s="2"/>
      <c r="M99" s="2"/>
      <c r="N99" s="2"/>
      <c r="O99" s="2"/>
      <c r="P99" s="2"/>
      <c r="Q99" s="2"/>
      <c r="R99" s="2"/>
      <c r="S99" s="2"/>
      <c r="T99" s="2"/>
      <c r="U99" s="2"/>
    </row>
    <row r="100" spans="1:21" s="101" customFormat="1" ht="12.9" customHeight="1" x14ac:dyDescent="0.3">
      <c r="A100" s="216" t="s">
        <v>20</v>
      </c>
      <c r="B100" s="217"/>
      <c r="C100" s="217"/>
      <c r="D100" s="217"/>
      <c r="G100" s="78"/>
      <c r="H100" s="78"/>
      <c r="I100" s="78"/>
      <c r="J100" s="78"/>
      <c r="K100" s="78"/>
      <c r="L100" s="78"/>
      <c r="M100" s="78"/>
      <c r="N100" s="78"/>
      <c r="O100" s="78"/>
      <c r="P100" s="78"/>
      <c r="Q100" s="78"/>
      <c r="R100" s="78"/>
      <c r="S100" s="78"/>
      <c r="T100" s="78"/>
      <c r="U100" s="78"/>
    </row>
    <row r="101" spans="1:21" s="78" customFormat="1" ht="12.9" customHeight="1" x14ac:dyDescent="0.3">
      <c r="A101" s="78" t="s">
        <v>1</v>
      </c>
      <c r="B101" s="78">
        <v>164000</v>
      </c>
      <c r="C101" s="78">
        <v>152093</v>
      </c>
      <c r="D101" s="78">
        <v>152093</v>
      </c>
      <c r="E101" s="78">
        <v>160481</v>
      </c>
      <c r="F101" s="78">
        <v>154287</v>
      </c>
      <c r="G101" s="78" t="s">
        <v>15</v>
      </c>
    </row>
    <row r="102" spans="1:21" s="78" customFormat="1" ht="12.9" customHeight="1" x14ac:dyDescent="0.3">
      <c r="A102" s="78" t="s">
        <v>122</v>
      </c>
      <c r="B102" s="78">
        <v>2700</v>
      </c>
      <c r="C102" s="78">
        <v>2250</v>
      </c>
      <c r="D102" s="78">
        <v>2250</v>
      </c>
      <c r="E102" s="78">
        <v>2327</v>
      </c>
      <c r="F102" s="78">
        <v>1969</v>
      </c>
    </row>
    <row r="103" spans="1:21" s="78" customFormat="1" ht="12.9" customHeight="1" x14ac:dyDescent="0.3">
      <c r="A103" s="78" t="s">
        <v>232</v>
      </c>
      <c r="B103" s="78">
        <v>32600</v>
      </c>
      <c r="C103" s="78">
        <v>29506</v>
      </c>
      <c r="D103" s="78">
        <v>29506</v>
      </c>
      <c r="E103" s="78">
        <v>31133</v>
      </c>
      <c r="F103" s="78">
        <v>25594</v>
      </c>
    </row>
    <row r="104" spans="1:21" s="78" customFormat="1" ht="12.9" customHeight="1" x14ac:dyDescent="0.3">
      <c r="A104" s="78" t="s">
        <v>189</v>
      </c>
      <c r="B104" s="79">
        <v>32300</v>
      </c>
      <c r="C104" s="79">
        <v>28000</v>
      </c>
      <c r="D104" s="79">
        <v>28000</v>
      </c>
      <c r="E104" s="79">
        <v>29900</v>
      </c>
      <c r="F104" s="79">
        <v>18418</v>
      </c>
    </row>
    <row r="105" spans="1:21" s="78" customFormat="1" ht="12.9" customHeight="1" x14ac:dyDescent="0.3">
      <c r="A105" s="78" t="s">
        <v>271</v>
      </c>
      <c r="B105" s="103">
        <v>20000</v>
      </c>
      <c r="C105" s="103">
        <v>15361</v>
      </c>
      <c r="D105" s="103">
        <v>16800</v>
      </c>
      <c r="E105" s="103">
        <v>16800</v>
      </c>
      <c r="F105" s="103">
        <v>15135</v>
      </c>
    </row>
    <row r="106" spans="1:21" s="78" customFormat="1" ht="12.9" customHeight="1" x14ac:dyDescent="0.3">
      <c r="A106" s="78" t="s">
        <v>139</v>
      </c>
      <c r="B106" s="78">
        <f>SUM(B101:B105)</f>
        <v>251600</v>
      </c>
      <c r="C106" s="78">
        <f>SUM(C101:C105)</f>
        <v>227210</v>
      </c>
      <c r="D106" s="78">
        <f>SUM(D101:D105)</f>
        <v>228649</v>
      </c>
      <c r="E106" s="78">
        <f>SUM(E101:E105)</f>
        <v>240641</v>
      </c>
      <c r="F106" s="78">
        <f>SUM(F101:F105)</f>
        <v>215403</v>
      </c>
    </row>
    <row r="107" spans="1:21" s="78" customFormat="1" ht="12.9" customHeight="1" x14ac:dyDescent="0.3">
      <c r="A107" s="78" t="s">
        <v>43</v>
      </c>
      <c r="B107" s="78">
        <v>6000</v>
      </c>
      <c r="C107" s="78">
        <v>3000</v>
      </c>
      <c r="D107" s="78">
        <v>3000</v>
      </c>
      <c r="E107" s="78">
        <v>3000</v>
      </c>
      <c r="F107" s="78">
        <v>3101</v>
      </c>
    </row>
    <row r="108" spans="1:21" ht="12.9" customHeight="1" x14ac:dyDescent="0.3">
      <c r="A108" s="78" t="s">
        <v>286</v>
      </c>
      <c r="B108" s="76">
        <v>1000</v>
      </c>
      <c r="C108" s="76">
        <v>1503</v>
      </c>
      <c r="D108" s="76">
        <v>1503</v>
      </c>
      <c r="E108" s="76">
        <v>1503</v>
      </c>
      <c r="F108" s="76">
        <v>1793</v>
      </c>
    </row>
    <row r="109" spans="1:21" s="78" customFormat="1" ht="12.9" customHeight="1" x14ac:dyDescent="0.3">
      <c r="A109" s="78" t="s">
        <v>258</v>
      </c>
      <c r="B109" s="78">
        <v>0</v>
      </c>
      <c r="C109" s="78">
        <v>1500</v>
      </c>
      <c r="D109" s="78">
        <v>1500</v>
      </c>
      <c r="E109" s="78">
        <v>1500</v>
      </c>
    </row>
    <row r="110" spans="1:21" s="78" customFormat="1" ht="12.9" customHeight="1" x14ac:dyDescent="0.3">
      <c r="A110" s="78" t="s">
        <v>45</v>
      </c>
      <c r="B110" s="78">
        <v>500</v>
      </c>
      <c r="C110" s="78">
        <v>500</v>
      </c>
      <c r="D110" s="78">
        <v>500</v>
      </c>
      <c r="E110" s="78">
        <v>500</v>
      </c>
      <c r="F110" s="78">
        <v>500</v>
      </c>
    </row>
    <row r="111" spans="1:21" s="78" customFormat="1" ht="12.9" customHeight="1" x14ac:dyDescent="0.3">
      <c r="A111" s="78" t="s">
        <v>81</v>
      </c>
      <c r="B111" s="103">
        <v>350</v>
      </c>
      <c r="C111" s="103">
        <v>350</v>
      </c>
      <c r="D111" s="103">
        <v>350</v>
      </c>
      <c r="E111" s="103">
        <v>350</v>
      </c>
      <c r="F111" s="103">
        <v>265</v>
      </c>
    </row>
    <row r="112" spans="1:21" s="2" customFormat="1" ht="12.9" customHeight="1" x14ac:dyDescent="0.3">
      <c r="A112" s="2" t="s">
        <v>21</v>
      </c>
      <c r="B112" s="2">
        <f>SUM(B106:B111)</f>
        <v>259450</v>
      </c>
      <c r="C112" s="2">
        <f>SUM(C106:C111)</f>
        <v>234063</v>
      </c>
      <c r="D112" s="2">
        <f>SUM(D106:D111)</f>
        <v>235502</v>
      </c>
      <c r="E112" s="2">
        <f>SUM(E106:E111)</f>
        <v>247494</v>
      </c>
      <c r="F112" s="2">
        <f>SUM(F106:F111)</f>
        <v>221062</v>
      </c>
    </row>
    <row r="113" spans="1:21" s="104" customFormat="1" ht="9" customHeight="1" x14ac:dyDescent="0.3">
      <c r="B113" s="110"/>
      <c r="C113" s="110"/>
      <c r="D113" s="110"/>
      <c r="E113" s="110"/>
      <c r="F113" s="110"/>
      <c r="G113" s="2"/>
      <c r="H113" s="2"/>
      <c r="I113" s="2"/>
      <c r="J113" s="2"/>
      <c r="K113" s="2"/>
      <c r="L113" s="2"/>
      <c r="M113" s="2"/>
      <c r="N113" s="2"/>
      <c r="O113" s="2"/>
      <c r="P113" s="2"/>
      <c r="Q113" s="2"/>
      <c r="R113" s="2"/>
      <c r="S113" s="2"/>
      <c r="T113" s="2"/>
      <c r="U113" s="2"/>
    </row>
    <row r="114" spans="1:21" s="101" customFormat="1" ht="12.9" customHeight="1" x14ac:dyDescent="0.3">
      <c r="A114" s="216" t="s">
        <v>51</v>
      </c>
      <c r="B114" s="217"/>
      <c r="C114" s="217"/>
      <c r="D114" s="217"/>
      <c r="G114" s="78"/>
      <c r="H114" s="78"/>
      <c r="I114" s="78"/>
      <c r="J114" s="78"/>
      <c r="K114" s="78"/>
      <c r="L114" s="78"/>
      <c r="M114" s="78"/>
      <c r="N114" s="78"/>
      <c r="O114" s="78"/>
      <c r="P114" s="78"/>
      <c r="Q114" s="78"/>
      <c r="R114" s="78"/>
      <c r="S114" s="78"/>
      <c r="T114" s="78"/>
      <c r="U114" s="78"/>
    </row>
    <row r="115" spans="1:21" ht="12.9" customHeight="1" x14ac:dyDescent="0.3">
      <c r="A115" s="78" t="s">
        <v>51</v>
      </c>
      <c r="B115" s="102">
        <v>38142</v>
      </c>
      <c r="C115" s="102">
        <v>35694</v>
      </c>
      <c r="D115" s="102">
        <v>35694</v>
      </c>
      <c r="E115" s="102">
        <v>34542</v>
      </c>
      <c r="F115" s="102">
        <v>31939</v>
      </c>
    </row>
    <row r="116" spans="1:21" ht="12.9" customHeight="1" x14ac:dyDescent="0.3">
      <c r="A116" s="102" t="s">
        <v>0</v>
      </c>
      <c r="B116" s="78">
        <v>600</v>
      </c>
      <c r="C116" s="78">
        <v>600</v>
      </c>
      <c r="D116" s="78">
        <v>600</v>
      </c>
      <c r="E116" s="78">
        <v>600</v>
      </c>
      <c r="F116" s="78">
        <v>414</v>
      </c>
    </row>
    <row r="117" spans="1:21" s="111" customFormat="1" ht="12.9" customHeight="1" x14ac:dyDescent="0.3">
      <c r="A117" s="111" t="s">
        <v>71</v>
      </c>
      <c r="B117" s="79">
        <v>1000</v>
      </c>
      <c r="C117" s="79">
        <v>1500</v>
      </c>
      <c r="D117" s="79">
        <v>1500</v>
      </c>
      <c r="E117" s="79">
        <v>1500</v>
      </c>
      <c r="F117" s="79">
        <v>113</v>
      </c>
      <c r="G117" s="79"/>
      <c r="H117" s="79"/>
      <c r="I117" s="79"/>
      <c r="J117" s="79"/>
      <c r="K117" s="79"/>
      <c r="L117" s="79"/>
      <c r="M117" s="79"/>
      <c r="N117" s="79"/>
      <c r="O117" s="79"/>
      <c r="P117" s="79"/>
      <c r="Q117" s="79"/>
      <c r="R117" s="79"/>
      <c r="S117" s="79"/>
      <c r="T117" s="79"/>
      <c r="U117" s="79"/>
    </row>
    <row r="118" spans="1:21" ht="12.9" customHeight="1" x14ac:dyDescent="0.3">
      <c r="A118" s="102" t="s">
        <v>7</v>
      </c>
      <c r="B118" s="78">
        <v>500</v>
      </c>
      <c r="C118" s="78">
        <v>1000</v>
      </c>
      <c r="D118" s="78">
        <v>1000</v>
      </c>
      <c r="E118" s="78">
        <v>1000</v>
      </c>
      <c r="F118" s="78">
        <v>39</v>
      </c>
    </row>
    <row r="119" spans="1:21" ht="12.9" customHeight="1" x14ac:dyDescent="0.3">
      <c r="A119" s="102" t="s">
        <v>44</v>
      </c>
      <c r="B119" s="103">
        <v>500</v>
      </c>
      <c r="C119" s="103">
        <v>500</v>
      </c>
      <c r="D119" s="103">
        <v>3200</v>
      </c>
      <c r="E119" s="103">
        <v>3200</v>
      </c>
      <c r="F119" s="103">
        <v>3336</v>
      </c>
    </row>
    <row r="120" spans="1:21" ht="12.9" customHeight="1" x14ac:dyDescent="0.3">
      <c r="A120" s="104" t="s">
        <v>32</v>
      </c>
      <c r="B120" s="2">
        <f>SUM(B115:B119)</f>
        <v>40742</v>
      </c>
      <c r="C120" s="2">
        <f>SUM(C115:C119)</f>
        <v>39294</v>
      </c>
      <c r="D120" s="2">
        <f>SUM(D115:D119)</f>
        <v>41994</v>
      </c>
      <c r="E120" s="2">
        <f>SUM(E115:E119)</f>
        <v>40842</v>
      </c>
      <c r="F120" s="2">
        <f>SUM(F115:F119)</f>
        <v>35841</v>
      </c>
    </row>
    <row r="121" spans="1:21" s="104" customFormat="1" ht="7.5" customHeight="1" x14ac:dyDescent="0.3">
      <c r="A121" s="102"/>
      <c r="B121" s="78"/>
      <c r="C121" s="78"/>
      <c r="D121" s="78"/>
      <c r="E121" s="78"/>
      <c r="F121" s="78"/>
      <c r="G121" s="2"/>
      <c r="H121" s="2"/>
      <c r="I121" s="2"/>
      <c r="J121" s="2"/>
      <c r="K121" s="2"/>
      <c r="L121" s="2"/>
      <c r="M121" s="2"/>
      <c r="N121" s="2"/>
      <c r="O121" s="2"/>
      <c r="P121" s="2"/>
      <c r="Q121" s="2"/>
      <c r="R121" s="2"/>
      <c r="S121" s="2"/>
      <c r="T121" s="2"/>
      <c r="U121" s="2"/>
    </row>
    <row r="122" spans="1:21" s="101" customFormat="1" ht="12.9" customHeight="1" x14ac:dyDescent="0.3">
      <c r="A122" s="216" t="s">
        <v>52</v>
      </c>
      <c r="B122" s="217"/>
      <c r="C122" s="217"/>
      <c r="D122" s="217"/>
      <c r="G122" s="78"/>
      <c r="H122" s="78"/>
      <c r="I122" s="78"/>
      <c r="J122" s="78"/>
      <c r="K122" s="78"/>
      <c r="L122" s="78"/>
      <c r="M122" s="78"/>
      <c r="N122" s="78"/>
      <c r="O122" s="78"/>
      <c r="P122" s="78"/>
      <c r="Q122" s="78"/>
      <c r="R122" s="78"/>
      <c r="S122" s="78"/>
      <c r="T122" s="78"/>
      <c r="U122" s="78"/>
    </row>
    <row r="123" spans="1:21" ht="12.9" customHeight="1" x14ac:dyDescent="0.3">
      <c r="A123" s="78" t="s">
        <v>155</v>
      </c>
      <c r="B123" s="64">
        <v>35859</v>
      </c>
      <c r="C123" s="64">
        <v>34191</v>
      </c>
      <c r="D123" s="64">
        <v>34191</v>
      </c>
      <c r="E123" s="64">
        <v>27241</v>
      </c>
      <c r="F123" s="64">
        <v>28395</v>
      </c>
    </row>
    <row r="124" spans="1:21" ht="12.9" customHeight="1" x14ac:dyDescent="0.3">
      <c r="A124" s="78" t="s">
        <v>154</v>
      </c>
      <c r="B124" s="64">
        <v>55000</v>
      </c>
      <c r="C124" s="64">
        <v>55000</v>
      </c>
      <c r="D124" s="64">
        <v>55000</v>
      </c>
      <c r="E124" s="64">
        <v>55000</v>
      </c>
      <c r="F124" s="64">
        <v>39740</v>
      </c>
    </row>
    <row r="125" spans="1:21" ht="12.9" customHeight="1" x14ac:dyDescent="0.3">
      <c r="A125" s="78" t="s">
        <v>10</v>
      </c>
      <c r="B125" s="79">
        <v>5000</v>
      </c>
      <c r="C125" s="79">
        <v>5000</v>
      </c>
      <c r="D125" s="79">
        <v>5000</v>
      </c>
      <c r="E125" s="79">
        <v>5000</v>
      </c>
      <c r="F125" s="79">
        <v>536</v>
      </c>
    </row>
    <row r="126" spans="1:21" ht="12.9" customHeight="1" x14ac:dyDescent="0.3">
      <c r="A126" s="78" t="s">
        <v>8</v>
      </c>
      <c r="B126" s="78">
        <v>3700</v>
      </c>
      <c r="C126" s="78">
        <v>3700</v>
      </c>
      <c r="D126" s="78">
        <v>3700</v>
      </c>
      <c r="E126" s="78">
        <v>3700</v>
      </c>
      <c r="F126" s="78">
        <v>1268</v>
      </c>
    </row>
    <row r="127" spans="1:21" ht="12.9" customHeight="1" x14ac:dyDescent="0.3">
      <c r="A127" s="78" t="s">
        <v>46</v>
      </c>
      <c r="B127" s="78">
        <v>20000</v>
      </c>
      <c r="C127" s="78">
        <v>20000</v>
      </c>
      <c r="D127" s="78">
        <v>20000</v>
      </c>
      <c r="E127" s="78">
        <v>20000</v>
      </c>
      <c r="F127" s="78">
        <v>19041</v>
      </c>
    </row>
    <row r="128" spans="1:21" ht="12.9" customHeight="1" x14ac:dyDescent="0.3">
      <c r="A128" s="78" t="s">
        <v>66</v>
      </c>
      <c r="B128" s="79">
        <v>10000</v>
      </c>
      <c r="C128" s="79">
        <v>11000</v>
      </c>
      <c r="D128" s="79">
        <v>11000</v>
      </c>
      <c r="E128" s="79">
        <v>11000</v>
      </c>
      <c r="F128" s="79">
        <v>9790</v>
      </c>
    </row>
    <row r="129" spans="1:47" ht="12.9" customHeight="1" x14ac:dyDescent="0.3">
      <c r="A129" s="78" t="s">
        <v>65</v>
      </c>
      <c r="B129" s="79">
        <v>20000</v>
      </c>
      <c r="C129" s="79">
        <v>20000</v>
      </c>
      <c r="D129" s="79">
        <v>20000</v>
      </c>
      <c r="E129" s="79">
        <v>20000</v>
      </c>
      <c r="F129" s="79">
        <v>12442</v>
      </c>
      <c r="G129" s="78" t="s">
        <v>15</v>
      </c>
    </row>
    <row r="130" spans="1:47" ht="12.9" customHeight="1" x14ac:dyDescent="0.3">
      <c r="A130" s="78" t="s">
        <v>9</v>
      </c>
      <c r="B130" s="103">
        <v>84000</v>
      </c>
      <c r="C130" s="103">
        <v>84000</v>
      </c>
      <c r="D130" s="103">
        <v>84000</v>
      </c>
      <c r="E130" s="103">
        <v>84000</v>
      </c>
      <c r="F130" s="103">
        <v>75191</v>
      </c>
    </row>
    <row r="131" spans="1:47" ht="12.9" customHeight="1" x14ac:dyDescent="0.3">
      <c r="A131" s="2" t="s">
        <v>33</v>
      </c>
      <c r="B131" s="2">
        <f>SUM(B123:B130)</f>
        <v>233559</v>
      </c>
      <c r="C131" s="2">
        <f>SUM(C123:C130)</f>
        <v>232891</v>
      </c>
      <c r="D131" s="2">
        <f>SUM(D123:D130)</f>
        <v>232891</v>
      </c>
      <c r="E131" s="2">
        <f>SUM(E123:E130)</f>
        <v>225941</v>
      </c>
      <c r="F131" s="2">
        <f>SUM(F123:F130)</f>
        <v>186403</v>
      </c>
    </row>
    <row r="132" spans="1:47" s="2" customFormat="1" ht="9" customHeight="1" x14ac:dyDescent="0.3">
      <c r="A132" s="78"/>
      <c r="B132" s="78"/>
      <c r="C132" s="78"/>
      <c r="D132" s="78"/>
      <c r="E132" s="78"/>
      <c r="F132" s="78"/>
    </row>
    <row r="133" spans="1:47" s="101" customFormat="1" ht="12.9" customHeight="1" x14ac:dyDescent="0.3">
      <c r="A133" s="216" t="s">
        <v>236</v>
      </c>
      <c r="B133" s="217"/>
      <c r="C133" s="217"/>
      <c r="D133" s="217"/>
      <c r="G133" s="78"/>
      <c r="H133" s="78"/>
      <c r="I133" s="78"/>
      <c r="J133" s="78"/>
      <c r="K133" s="78"/>
      <c r="L133" s="78"/>
      <c r="M133" s="78"/>
      <c r="N133" s="78"/>
      <c r="O133" s="78"/>
      <c r="P133" s="78"/>
      <c r="Q133" s="78"/>
      <c r="R133" s="78"/>
      <c r="S133" s="78"/>
      <c r="T133" s="78"/>
      <c r="U133" s="78"/>
    </row>
    <row r="134" spans="1:47" s="64" customFormat="1" ht="12" customHeight="1" x14ac:dyDescent="0.3">
      <c r="A134" s="75" t="s">
        <v>139</v>
      </c>
      <c r="B134" s="66">
        <v>5000</v>
      </c>
      <c r="C134" s="66">
        <v>5000</v>
      </c>
      <c r="D134" s="66">
        <v>5000</v>
      </c>
      <c r="E134" s="66">
        <v>5000</v>
      </c>
    </row>
    <row r="135" spans="1:47" s="57" customFormat="1" ht="12" customHeight="1" x14ac:dyDescent="0.3">
      <c r="A135" s="60" t="s">
        <v>239</v>
      </c>
      <c r="B135" s="51">
        <f>SUM(B134:B134)</f>
        <v>5000</v>
      </c>
      <c r="C135" s="51">
        <f>SUM(C134:C134)</f>
        <v>5000</v>
      </c>
      <c r="D135" s="51">
        <f>SUM(D134:D134)</f>
        <v>5000</v>
      </c>
      <c r="E135" s="51">
        <f>SUM(E134:E134)</f>
        <v>5000</v>
      </c>
      <c r="F135" s="51">
        <f>SUM(F134:F134)</f>
        <v>0</v>
      </c>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row>
    <row r="136" spans="1:47" s="57" customFormat="1" ht="10.5" customHeight="1" x14ac:dyDescent="0.3">
      <c r="A136" s="60"/>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row>
    <row r="137" spans="1:47" s="101" customFormat="1" ht="12.9" customHeight="1" x14ac:dyDescent="0.3">
      <c r="A137" s="216" t="s">
        <v>53</v>
      </c>
      <c r="B137" s="217"/>
      <c r="C137" s="217"/>
      <c r="D137" s="217"/>
      <c r="G137" s="78"/>
      <c r="H137" s="78"/>
      <c r="I137" s="78"/>
      <c r="J137" s="78"/>
      <c r="K137" s="78"/>
      <c r="L137" s="78"/>
      <c r="M137" s="78"/>
      <c r="N137" s="78"/>
      <c r="O137" s="78"/>
      <c r="P137" s="78"/>
      <c r="Q137" s="78"/>
      <c r="R137" s="78"/>
      <c r="S137" s="78"/>
      <c r="T137" s="78"/>
      <c r="U137" s="78"/>
    </row>
    <row r="138" spans="1:47" ht="12.9" customHeight="1" x14ac:dyDescent="0.3">
      <c r="A138" s="78" t="s">
        <v>174</v>
      </c>
      <c r="B138" s="102">
        <v>44280</v>
      </c>
      <c r="C138" s="102">
        <v>44280</v>
      </c>
      <c r="D138" s="102">
        <v>44280</v>
      </c>
      <c r="E138" s="102">
        <v>44280</v>
      </c>
      <c r="F138" s="102">
        <v>33157</v>
      </c>
    </row>
    <row r="139" spans="1:47" ht="12.9" customHeight="1" x14ac:dyDescent="0.3">
      <c r="A139" s="78" t="s">
        <v>327</v>
      </c>
      <c r="B139" s="102">
        <v>5000</v>
      </c>
      <c r="C139" s="102">
        <v>5000</v>
      </c>
      <c r="D139" s="102">
        <v>5000</v>
      </c>
      <c r="F139" s="102">
        <v>4210</v>
      </c>
    </row>
    <row r="140" spans="1:47" ht="12.9" customHeight="1" x14ac:dyDescent="0.3">
      <c r="A140" s="78" t="s">
        <v>87</v>
      </c>
      <c r="B140" s="79">
        <v>50000</v>
      </c>
      <c r="C140" s="79">
        <v>50000</v>
      </c>
      <c r="D140" s="79">
        <v>50000</v>
      </c>
      <c r="E140" s="79">
        <v>50000</v>
      </c>
      <c r="F140" s="79">
        <v>65823</v>
      </c>
    </row>
    <row r="141" spans="1:47" ht="12.9" customHeight="1" x14ac:dyDescent="0.3">
      <c r="A141" s="78" t="s">
        <v>47</v>
      </c>
      <c r="B141" s="77">
        <v>17000</v>
      </c>
      <c r="C141" s="77">
        <v>17000</v>
      </c>
      <c r="D141" s="77">
        <v>17000</v>
      </c>
      <c r="E141" s="79">
        <v>15000</v>
      </c>
      <c r="F141" s="79">
        <v>12736</v>
      </c>
      <c r="H141" s="172" t="s">
        <v>15</v>
      </c>
    </row>
    <row r="142" spans="1:47" s="78" customFormat="1" ht="12.9" customHeight="1" x14ac:dyDescent="0.3">
      <c r="A142" s="78" t="s">
        <v>11</v>
      </c>
      <c r="B142" s="103">
        <v>30000</v>
      </c>
      <c r="C142" s="103">
        <v>30000</v>
      </c>
      <c r="D142" s="103">
        <v>30000</v>
      </c>
      <c r="E142" s="103">
        <v>30000</v>
      </c>
      <c r="F142" s="103">
        <v>16361</v>
      </c>
    </row>
    <row r="143" spans="1:47" ht="12.9" customHeight="1" x14ac:dyDescent="0.3">
      <c r="A143" s="2" t="s">
        <v>34</v>
      </c>
      <c r="B143" s="105">
        <f>SUM(B138:B142)</f>
        <v>146280</v>
      </c>
      <c r="C143" s="105">
        <f>SUM(C138:C142)</f>
        <v>146280</v>
      </c>
      <c r="D143" s="105">
        <f>SUM(D138:D142)</f>
        <v>146280</v>
      </c>
      <c r="E143" s="105">
        <f>SUM(E138:E142)</f>
        <v>139280</v>
      </c>
      <c r="F143" s="105">
        <f>SUM(F138:F142)</f>
        <v>132287</v>
      </c>
    </row>
    <row r="144" spans="1:47" s="104" customFormat="1" ht="4.5" customHeight="1" x14ac:dyDescent="0.3">
      <c r="A144" s="102"/>
      <c r="B144" s="79"/>
      <c r="C144" s="79"/>
      <c r="D144" s="79"/>
      <c r="E144" s="79"/>
      <c r="F144" s="79"/>
      <c r="G144" s="2"/>
      <c r="H144" s="2"/>
      <c r="I144" s="2"/>
      <c r="J144" s="2"/>
      <c r="K144" s="2"/>
      <c r="L144" s="2"/>
      <c r="M144" s="2"/>
      <c r="N144" s="2"/>
      <c r="O144" s="2"/>
      <c r="P144" s="2"/>
      <c r="Q144" s="2"/>
      <c r="R144" s="2"/>
      <c r="S144" s="2"/>
      <c r="T144" s="2"/>
      <c r="U144" s="2"/>
    </row>
    <row r="145" spans="1:21" s="101" customFormat="1" ht="12.9" customHeight="1" x14ac:dyDescent="0.3">
      <c r="A145" s="216" t="s">
        <v>145</v>
      </c>
      <c r="B145" s="222">
        <v>360000</v>
      </c>
      <c r="C145" s="222">
        <v>363284</v>
      </c>
      <c r="D145" s="222">
        <v>365000</v>
      </c>
      <c r="E145" s="109">
        <f>384000-2000</f>
        <v>382000</v>
      </c>
      <c r="F145" s="109">
        <v>392245</v>
      </c>
      <c r="G145" s="78" t="s">
        <v>342</v>
      </c>
      <c r="H145" s="78"/>
      <c r="I145" s="78"/>
      <c r="J145" s="78"/>
      <c r="K145" s="78"/>
      <c r="L145" s="78"/>
      <c r="M145" s="78"/>
      <c r="N145" s="78"/>
      <c r="O145" s="78"/>
      <c r="P145" s="78"/>
      <c r="Q145" s="78"/>
      <c r="R145" s="78"/>
      <c r="S145" s="78"/>
      <c r="T145" s="78"/>
      <c r="U145" s="78"/>
    </row>
    <row r="146" spans="1:21" ht="12" customHeight="1" x14ac:dyDescent="0.3">
      <c r="A146" s="102" t="s">
        <v>15</v>
      </c>
      <c r="B146" s="105" t="s">
        <v>15</v>
      </c>
      <c r="C146" s="105" t="s">
        <v>15</v>
      </c>
      <c r="D146" s="105" t="s">
        <v>15</v>
      </c>
      <c r="E146" s="105" t="s">
        <v>15</v>
      </c>
      <c r="F146" s="105" t="s">
        <v>15</v>
      </c>
      <c r="G146" s="78" t="s">
        <v>438</v>
      </c>
    </row>
    <row r="147" spans="1:21" s="104" customFormat="1" ht="12.9" customHeight="1" x14ac:dyDescent="0.3">
      <c r="A147" s="216" t="s">
        <v>236</v>
      </c>
      <c r="B147" s="222" t="s">
        <v>15</v>
      </c>
      <c r="C147" s="222" t="s">
        <v>15</v>
      </c>
      <c r="D147" s="222" t="s">
        <v>15</v>
      </c>
      <c r="E147" s="109">
        <v>14827</v>
      </c>
      <c r="F147" s="109">
        <v>13145</v>
      </c>
      <c r="G147" s="2"/>
      <c r="H147" s="2"/>
      <c r="I147" s="2"/>
      <c r="J147" s="2"/>
      <c r="K147" s="2"/>
      <c r="L147" s="2"/>
      <c r="M147" s="2"/>
      <c r="N147" s="2"/>
      <c r="O147" s="2"/>
      <c r="P147" s="2"/>
      <c r="Q147" s="2"/>
      <c r="R147" s="2"/>
      <c r="S147" s="2"/>
      <c r="T147" s="2"/>
      <c r="U147" s="2"/>
    </row>
    <row r="148" spans="1:21" ht="12" customHeight="1" x14ac:dyDescent="0.3">
      <c r="B148" s="105"/>
      <c r="C148" s="105"/>
      <c r="D148" s="105"/>
      <c r="E148" s="105"/>
      <c r="F148" s="105"/>
    </row>
    <row r="149" spans="1:21" s="104" customFormat="1" ht="12.9" customHeight="1" x14ac:dyDescent="0.3">
      <c r="A149" s="216" t="s">
        <v>181</v>
      </c>
      <c r="B149" s="222">
        <v>15000</v>
      </c>
      <c r="C149" s="222">
        <v>14827</v>
      </c>
      <c r="D149" s="222">
        <v>14827</v>
      </c>
      <c r="E149" s="109">
        <v>14827</v>
      </c>
      <c r="F149" s="109">
        <v>13145</v>
      </c>
      <c r="G149" s="2"/>
      <c r="H149" s="2"/>
      <c r="I149" s="2"/>
      <c r="J149" s="2"/>
      <c r="K149" s="2"/>
      <c r="L149" s="2"/>
      <c r="M149" s="2"/>
      <c r="N149" s="2"/>
      <c r="O149" s="2"/>
      <c r="P149" s="2"/>
      <c r="Q149" s="2"/>
      <c r="R149" s="2"/>
      <c r="S149" s="2"/>
      <c r="T149" s="2"/>
      <c r="U149" s="2"/>
    </row>
    <row r="150" spans="1:21" ht="9.75" customHeight="1" x14ac:dyDescent="0.3">
      <c r="B150" s="79"/>
      <c r="C150" s="79"/>
      <c r="D150" s="79"/>
      <c r="E150" s="79"/>
      <c r="F150" s="79"/>
    </row>
    <row r="151" spans="1:21" s="101" customFormat="1" ht="12.9" customHeight="1" x14ac:dyDescent="0.3">
      <c r="A151" s="216" t="s">
        <v>146</v>
      </c>
      <c r="B151" s="216">
        <v>41707</v>
      </c>
      <c r="C151" s="216">
        <v>41707</v>
      </c>
      <c r="D151" s="216">
        <v>41707</v>
      </c>
      <c r="E151" s="1">
        <v>41707</v>
      </c>
      <c r="F151" s="1">
        <v>40562</v>
      </c>
      <c r="G151" s="78"/>
      <c r="H151" s="78"/>
      <c r="I151" s="78"/>
      <c r="J151" s="78"/>
      <c r="K151" s="78"/>
      <c r="L151" s="78"/>
      <c r="M151" s="78"/>
      <c r="N151" s="78"/>
      <c r="O151" s="78"/>
      <c r="P151" s="78"/>
      <c r="Q151" s="78"/>
      <c r="R151" s="78"/>
      <c r="S151" s="78"/>
      <c r="T151" s="78"/>
      <c r="U151" s="78"/>
    </row>
    <row r="152" spans="1:21" s="78" customFormat="1" ht="6.75" customHeight="1" x14ac:dyDescent="0.3">
      <c r="A152" s="2"/>
      <c r="B152" s="2"/>
      <c r="C152" s="2"/>
      <c r="D152" s="2"/>
      <c r="E152" s="2"/>
      <c r="F152" s="2"/>
    </row>
    <row r="153" spans="1:21" s="104" customFormat="1" ht="12.9" customHeight="1" x14ac:dyDescent="0.3">
      <c r="A153" s="216" t="s">
        <v>104</v>
      </c>
      <c r="B153" s="223">
        <v>0</v>
      </c>
      <c r="C153" s="223">
        <v>0</v>
      </c>
      <c r="D153" s="223">
        <v>0</v>
      </c>
      <c r="E153" s="112">
        <v>0</v>
      </c>
      <c r="F153" s="112"/>
      <c r="G153" s="2"/>
      <c r="H153" s="2"/>
      <c r="I153" s="2"/>
      <c r="J153" s="2"/>
      <c r="K153" s="2"/>
      <c r="L153" s="2"/>
      <c r="M153" s="2"/>
      <c r="N153" s="2"/>
      <c r="O153" s="2"/>
      <c r="P153" s="2"/>
      <c r="Q153" s="2"/>
      <c r="R153" s="2"/>
      <c r="S153" s="2"/>
      <c r="T153" s="2"/>
      <c r="U153" s="2"/>
    </row>
    <row r="154" spans="1:21" s="104" customFormat="1" ht="6.75" customHeight="1" x14ac:dyDescent="0.3">
      <c r="A154" s="102"/>
      <c r="B154" s="78"/>
      <c r="C154" s="78"/>
      <c r="D154" s="78"/>
      <c r="E154" s="78"/>
      <c r="F154" s="78"/>
      <c r="G154" s="2"/>
      <c r="H154" s="2"/>
      <c r="I154" s="2"/>
      <c r="J154" s="2"/>
      <c r="K154" s="2"/>
      <c r="L154" s="2"/>
      <c r="M154" s="2"/>
      <c r="N154" s="2"/>
      <c r="O154" s="2"/>
      <c r="P154" s="2"/>
      <c r="Q154" s="2"/>
      <c r="R154" s="2"/>
      <c r="S154" s="2"/>
      <c r="T154" s="2"/>
      <c r="U154" s="2"/>
    </row>
    <row r="155" spans="1:21" ht="15.75" customHeight="1" x14ac:dyDescent="0.3">
      <c r="A155" s="216" t="s">
        <v>29</v>
      </c>
      <c r="B155" s="223">
        <f>+B151+B149+B145+B143+B131+B120+B112+B98+B88+B76+B62+B153+B135</f>
        <v>3686268</v>
      </c>
      <c r="C155" s="223">
        <f>+C151+C149+C145+C143+C131+C120+C112+C98+C88+C76+C62+C153+C135</f>
        <v>3595794</v>
      </c>
      <c r="D155" s="223">
        <f>+D151+D149+D145+D143+D131+D120+D112+D98+D88+D76+D62+D153+D135</f>
        <v>3581030</v>
      </c>
      <c r="E155" s="112">
        <f>+E151+E149+E145+E143+E131+E120+E112+E98+E88+E76+E62+E153+E135</f>
        <v>3592847</v>
      </c>
      <c r="F155" s="112">
        <f>+F151+F149+F145+F143+F131+F120+F112+F98+F88+F76+F62+F153</f>
        <v>3346187</v>
      </c>
      <c r="G155" s="255"/>
    </row>
    <row r="156" spans="1:21" s="78" customFormat="1" ht="6.75" customHeight="1" x14ac:dyDescent="0.3">
      <c r="A156" s="2"/>
      <c r="B156" s="105"/>
      <c r="C156" s="105"/>
      <c r="D156" s="105"/>
      <c r="E156" s="105"/>
      <c r="F156" s="105"/>
    </row>
    <row r="157" spans="1:21" ht="16.5" customHeight="1" thickBot="1" x14ac:dyDescent="0.35">
      <c r="A157" s="224" t="s">
        <v>80</v>
      </c>
      <c r="B157" s="222">
        <f>+B40-B155</f>
        <v>-4701</v>
      </c>
      <c r="C157" s="222">
        <f>+C40-C155</f>
        <v>42190</v>
      </c>
      <c r="D157" s="222">
        <f>+D40-D155</f>
        <v>8960.2899999995716</v>
      </c>
      <c r="E157" s="113">
        <f>+E40-E155</f>
        <v>-100852.33000000007</v>
      </c>
      <c r="F157" s="113">
        <f>+F40-F155</f>
        <v>258111</v>
      </c>
      <c r="H157" s="102"/>
      <c r="I157" s="102"/>
    </row>
    <row r="158" spans="1:21" s="78" customFormat="1" ht="12.75" customHeight="1" thickTop="1" x14ac:dyDescent="0.3">
      <c r="A158" s="60"/>
      <c r="B158" s="105"/>
      <c r="C158" s="105"/>
      <c r="D158" s="105"/>
      <c r="E158" s="105"/>
      <c r="F158" s="105"/>
      <c r="H158" s="79"/>
      <c r="I158" s="79"/>
    </row>
    <row r="159" spans="1:21" s="64" customFormat="1" ht="16.5" customHeight="1" x14ac:dyDescent="0.3">
      <c r="A159" s="64" t="s">
        <v>334</v>
      </c>
      <c r="C159" s="64">
        <v>114000</v>
      </c>
      <c r="D159" s="64">
        <v>114000</v>
      </c>
    </row>
    <row r="160" spans="1:21" s="64" customFormat="1" ht="16.5" customHeight="1" x14ac:dyDescent="0.3">
      <c r="A160" s="64" t="s">
        <v>370</v>
      </c>
      <c r="C160" s="64">
        <v>10200</v>
      </c>
      <c r="D160" s="64">
        <v>10200</v>
      </c>
    </row>
    <row r="161" spans="1:30" s="64" customFormat="1" ht="13.5" customHeight="1" x14ac:dyDescent="0.3">
      <c r="A161" s="64" t="s">
        <v>335</v>
      </c>
      <c r="B161" s="66"/>
      <c r="C161" s="66">
        <v>30000</v>
      </c>
      <c r="D161" s="66">
        <v>30000</v>
      </c>
      <c r="E161" s="66"/>
      <c r="H161" s="76"/>
      <c r="I161" s="76"/>
    </row>
    <row r="162" spans="1:30" s="64" customFormat="1" ht="18.75" customHeight="1" x14ac:dyDescent="0.3">
      <c r="A162" s="64" t="s">
        <v>336</v>
      </c>
      <c r="B162" s="76">
        <f>SUM(B157:B161)</f>
        <v>-4701</v>
      </c>
      <c r="C162" s="76">
        <f>+C157-C159-C160-C161</f>
        <v>-112010</v>
      </c>
      <c r="D162" s="76">
        <f>+D157-D159-D160-D161</f>
        <v>-145239.71000000043</v>
      </c>
      <c r="E162" s="64">
        <f>E157-E159-E161</f>
        <v>-100852.33000000007</v>
      </c>
      <c r="H162" s="76"/>
      <c r="I162" s="76"/>
    </row>
    <row r="163" spans="1:30" ht="13.5" customHeight="1" x14ac:dyDescent="0.3">
      <c r="A163" s="75" t="s">
        <v>210</v>
      </c>
      <c r="B163" s="2">
        <v>1356097</v>
      </c>
      <c r="C163" s="2">
        <v>1468107</v>
      </c>
      <c r="D163" s="2">
        <v>1468107</v>
      </c>
      <c r="E163" s="2">
        <v>1270891</v>
      </c>
      <c r="F163" s="2">
        <v>1322050</v>
      </c>
      <c r="H163" s="79"/>
      <c r="I163" s="79"/>
      <c r="V163" s="78"/>
      <c r="W163" s="78"/>
      <c r="X163" s="78"/>
      <c r="Y163" s="78"/>
      <c r="Z163" s="78"/>
      <c r="AA163" s="78"/>
      <c r="AB163" s="78"/>
      <c r="AC163" s="78"/>
      <c r="AD163" s="78"/>
    </row>
    <row r="164" spans="1:30" s="79" customFormat="1" ht="15" customHeight="1" thickBot="1" x14ac:dyDescent="0.35">
      <c r="A164" s="104" t="s">
        <v>278</v>
      </c>
      <c r="B164" s="176">
        <f>SUM(B162:B163)</f>
        <v>1351396</v>
      </c>
      <c r="C164" s="176">
        <f>SUM(C162:C163)</f>
        <v>1356097</v>
      </c>
      <c r="D164" s="176">
        <f>SUM(D162:D163)</f>
        <v>1322867.2899999996</v>
      </c>
      <c r="E164" s="176">
        <f>SUM(E162:E163)</f>
        <v>1170038.67</v>
      </c>
      <c r="F164" s="176">
        <f>SUM(F157:F163)</f>
        <v>1580161</v>
      </c>
      <c r="G164" s="78"/>
    </row>
    <row r="165" spans="1:30" ht="12.9" customHeight="1" thickTop="1" x14ac:dyDescent="0.3">
      <c r="B165" s="78"/>
      <c r="C165" s="78"/>
      <c r="D165" s="78"/>
      <c r="E165" s="78"/>
      <c r="F165" s="78"/>
      <c r="H165" s="79"/>
      <c r="I165" s="79"/>
    </row>
    <row r="166" spans="1:30" ht="12.9" customHeight="1" x14ac:dyDescent="0.3">
      <c r="A166" s="46" t="s">
        <v>15</v>
      </c>
      <c r="B166" s="78"/>
      <c r="C166" s="78"/>
      <c r="D166" s="78"/>
      <c r="E166" s="78"/>
      <c r="F166" s="78"/>
      <c r="H166" s="79"/>
      <c r="I166" s="79"/>
    </row>
    <row r="167" spans="1:30" ht="12.9" customHeight="1" x14ac:dyDescent="0.3">
      <c r="B167" s="78"/>
      <c r="C167" s="78"/>
      <c r="D167" s="78"/>
      <c r="E167" s="78"/>
      <c r="F167" s="78"/>
      <c r="H167" s="79"/>
      <c r="I167" s="79"/>
    </row>
    <row r="168" spans="1:30" ht="12.9" customHeight="1" x14ac:dyDescent="0.3">
      <c r="A168" s="206"/>
      <c r="B168" s="78"/>
      <c r="C168" s="78"/>
      <c r="D168" s="78"/>
      <c r="E168" s="78"/>
      <c r="F168" s="78"/>
    </row>
    <row r="169" spans="1:30" ht="12.9" customHeight="1" x14ac:dyDescent="0.3">
      <c r="B169" s="78"/>
      <c r="C169" s="78"/>
      <c r="D169" s="78"/>
      <c r="E169" s="78"/>
      <c r="F169" s="78"/>
    </row>
    <row r="170" spans="1:30" ht="12.9" customHeight="1" x14ac:dyDescent="0.3">
      <c r="B170" s="78"/>
      <c r="C170" s="78"/>
      <c r="D170" s="78"/>
      <c r="E170" s="78"/>
      <c r="F170" s="78"/>
    </row>
    <row r="171" spans="1:30" ht="12.9" customHeight="1" x14ac:dyDescent="0.3">
      <c r="B171" s="78"/>
      <c r="C171" s="78"/>
      <c r="D171" s="78"/>
      <c r="E171" s="78"/>
      <c r="F171" s="78"/>
    </row>
    <row r="172" spans="1:30" ht="12.9" customHeight="1" x14ac:dyDescent="0.3">
      <c r="B172" s="78"/>
      <c r="C172" s="78"/>
      <c r="D172" s="78"/>
      <c r="E172" s="78"/>
      <c r="F172" s="78"/>
    </row>
    <row r="173" spans="1:30" ht="12.9" customHeight="1" x14ac:dyDescent="0.3">
      <c r="B173" s="78"/>
      <c r="C173" s="78"/>
      <c r="D173" s="78"/>
      <c r="E173" s="78"/>
      <c r="F173" s="78"/>
    </row>
    <row r="174" spans="1:30" ht="12.9" customHeight="1" x14ac:dyDescent="0.3">
      <c r="B174" s="78"/>
      <c r="C174" s="78"/>
      <c r="D174" s="78"/>
      <c r="E174" s="78"/>
      <c r="F174" s="78"/>
    </row>
    <row r="175" spans="1:30" ht="12.9" customHeight="1" x14ac:dyDescent="0.3">
      <c r="B175" s="78"/>
      <c r="C175" s="78"/>
      <c r="D175" s="78"/>
      <c r="E175" s="78"/>
      <c r="F175" s="78"/>
    </row>
    <row r="176" spans="1:30" ht="12.9" customHeight="1" x14ac:dyDescent="0.3">
      <c r="B176" s="78"/>
      <c r="C176" s="78"/>
      <c r="D176" s="78"/>
      <c r="E176" s="78"/>
      <c r="F176" s="78"/>
    </row>
    <row r="177" spans="2:6" ht="12.9" customHeight="1" x14ac:dyDescent="0.3">
      <c r="B177" s="78"/>
      <c r="C177" s="78"/>
      <c r="D177" s="78"/>
      <c r="E177" s="78"/>
      <c r="F177" s="78"/>
    </row>
    <row r="178" spans="2:6" ht="12.9" customHeight="1" x14ac:dyDescent="0.3">
      <c r="B178" s="78"/>
      <c r="C178" s="78"/>
      <c r="D178" s="78"/>
      <c r="E178" s="78"/>
      <c r="F178" s="78"/>
    </row>
    <row r="179" spans="2:6" ht="12.9" customHeight="1" x14ac:dyDescent="0.3">
      <c r="B179" s="78"/>
      <c r="C179" s="78"/>
      <c r="D179" s="78"/>
      <c r="E179" s="78"/>
      <c r="F179" s="78"/>
    </row>
    <row r="180" spans="2:6" ht="12.9" customHeight="1" x14ac:dyDescent="0.3">
      <c r="B180" s="78"/>
      <c r="C180" s="78"/>
      <c r="D180" s="78"/>
      <c r="E180" s="78"/>
      <c r="F180" s="78"/>
    </row>
    <row r="181" spans="2:6" ht="12.9" customHeight="1" x14ac:dyDescent="0.3">
      <c r="B181" s="78"/>
      <c r="C181" s="78"/>
      <c r="D181" s="78"/>
      <c r="E181" s="78"/>
      <c r="F181" s="78"/>
    </row>
    <row r="182" spans="2:6" ht="12.9" customHeight="1" x14ac:dyDescent="0.3">
      <c r="B182" s="78"/>
      <c r="C182" s="78"/>
      <c r="D182" s="78"/>
      <c r="E182" s="78"/>
      <c r="F182" s="78"/>
    </row>
    <row r="183" spans="2:6" ht="12.9" customHeight="1" x14ac:dyDescent="0.3">
      <c r="B183" s="78"/>
      <c r="C183" s="78"/>
      <c r="D183" s="78"/>
      <c r="E183" s="78"/>
      <c r="F183" s="78"/>
    </row>
    <row r="184" spans="2:6" ht="12.9" customHeight="1" x14ac:dyDescent="0.3">
      <c r="B184" s="78"/>
      <c r="C184" s="78"/>
      <c r="D184" s="78"/>
      <c r="E184" s="78"/>
      <c r="F184" s="78"/>
    </row>
    <row r="185" spans="2:6" ht="12.9" customHeight="1" x14ac:dyDescent="0.3">
      <c r="B185" s="78"/>
      <c r="C185" s="78"/>
      <c r="D185" s="78"/>
      <c r="E185" s="78"/>
      <c r="F185" s="78"/>
    </row>
    <row r="186" spans="2:6" ht="12.9" customHeight="1" x14ac:dyDescent="0.3">
      <c r="B186" s="78"/>
      <c r="C186" s="78"/>
      <c r="D186" s="78"/>
      <c r="E186" s="78"/>
      <c r="F186" s="78"/>
    </row>
    <row r="187" spans="2:6" ht="12.9" customHeight="1" x14ac:dyDescent="0.3">
      <c r="B187" s="78"/>
      <c r="C187" s="78"/>
      <c r="D187" s="78"/>
      <c r="E187" s="78"/>
      <c r="F187" s="78"/>
    </row>
    <row r="188" spans="2:6" ht="12.9" customHeight="1" x14ac:dyDescent="0.3">
      <c r="B188" s="78"/>
      <c r="C188" s="78"/>
      <c r="D188" s="78"/>
      <c r="E188" s="78"/>
      <c r="F188" s="78"/>
    </row>
    <row r="189" spans="2:6" ht="12.9" customHeight="1" x14ac:dyDescent="0.3">
      <c r="B189" s="78"/>
      <c r="C189" s="78"/>
      <c r="D189" s="78"/>
      <c r="E189" s="78"/>
      <c r="F189" s="78"/>
    </row>
    <row r="190" spans="2:6" ht="12.9" customHeight="1" x14ac:dyDescent="0.3">
      <c r="B190" s="78"/>
      <c r="C190" s="78"/>
      <c r="D190" s="78"/>
      <c r="E190" s="78"/>
      <c r="F190" s="78"/>
    </row>
    <row r="191" spans="2:6" ht="12.9" customHeight="1" x14ac:dyDescent="0.3">
      <c r="B191" s="78"/>
      <c r="C191" s="78"/>
      <c r="D191" s="78"/>
      <c r="E191" s="78"/>
      <c r="F191" s="78"/>
    </row>
    <row r="192" spans="2:6" ht="12.9" customHeight="1" x14ac:dyDescent="0.3">
      <c r="B192" s="78"/>
      <c r="C192" s="78"/>
      <c r="D192" s="78"/>
      <c r="E192" s="78"/>
      <c r="F192" s="78"/>
    </row>
    <row r="193" spans="2:6" ht="12.9" customHeight="1" x14ac:dyDescent="0.3">
      <c r="B193" s="78"/>
      <c r="C193" s="78"/>
      <c r="D193" s="78"/>
      <c r="E193" s="78"/>
      <c r="F193" s="78"/>
    </row>
    <row r="194" spans="2:6" ht="12.9" customHeight="1" x14ac:dyDescent="0.3">
      <c r="B194" s="78"/>
      <c r="C194" s="78"/>
      <c r="D194" s="78"/>
      <c r="E194" s="78"/>
      <c r="F194" s="78"/>
    </row>
    <row r="195" spans="2:6" ht="12.9" customHeight="1" x14ac:dyDescent="0.3">
      <c r="B195" s="78"/>
      <c r="C195" s="78"/>
      <c r="D195" s="78"/>
      <c r="E195" s="78"/>
      <c r="F195" s="78"/>
    </row>
    <row r="196" spans="2:6" ht="12.9" customHeight="1" x14ac:dyDescent="0.3">
      <c r="B196" s="78"/>
      <c r="C196" s="78"/>
      <c r="D196" s="78"/>
      <c r="E196" s="78"/>
      <c r="F196" s="78"/>
    </row>
    <row r="197" spans="2:6" ht="12.9" customHeight="1" x14ac:dyDescent="0.3">
      <c r="B197" s="78"/>
      <c r="C197" s="78"/>
      <c r="D197" s="78"/>
      <c r="E197" s="78"/>
      <c r="F197" s="78"/>
    </row>
    <row r="198" spans="2:6" ht="12.9" customHeight="1" x14ac:dyDescent="0.3">
      <c r="B198" s="78"/>
      <c r="C198" s="78"/>
      <c r="D198" s="78"/>
      <c r="E198" s="78"/>
      <c r="F198" s="78"/>
    </row>
    <row r="199" spans="2:6" ht="12.9" customHeight="1" x14ac:dyDescent="0.3">
      <c r="B199" s="78"/>
      <c r="C199" s="78"/>
      <c r="D199" s="78"/>
      <c r="E199" s="78"/>
      <c r="F199" s="78"/>
    </row>
    <row r="200" spans="2:6" ht="12.9" customHeight="1" x14ac:dyDescent="0.3">
      <c r="B200" s="78"/>
      <c r="C200" s="78"/>
      <c r="D200" s="78"/>
      <c r="E200" s="78"/>
      <c r="F200" s="78"/>
    </row>
    <row r="201" spans="2:6" ht="12.9" customHeight="1" x14ac:dyDescent="0.3">
      <c r="B201" s="78"/>
      <c r="C201" s="78"/>
      <c r="D201" s="78"/>
      <c r="E201" s="78"/>
      <c r="F201" s="78"/>
    </row>
    <row r="202" spans="2:6" ht="12.9" customHeight="1" x14ac:dyDescent="0.3">
      <c r="B202" s="78"/>
      <c r="C202" s="78"/>
      <c r="D202" s="78"/>
      <c r="E202" s="78"/>
      <c r="F202" s="78"/>
    </row>
    <row r="203" spans="2:6" ht="12.9" customHeight="1" x14ac:dyDescent="0.3">
      <c r="B203" s="78"/>
      <c r="C203" s="78"/>
      <c r="D203" s="78"/>
      <c r="E203" s="78"/>
      <c r="F203" s="78"/>
    </row>
    <row r="204" spans="2:6" ht="12.9" customHeight="1" x14ac:dyDescent="0.3">
      <c r="B204" s="78"/>
      <c r="C204" s="78"/>
      <c r="D204" s="78"/>
      <c r="E204" s="78"/>
      <c r="F204" s="78"/>
    </row>
    <row r="205" spans="2:6" ht="12.9" customHeight="1" x14ac:dyDescent="0.3">
      <c r="B205" s="78"/>
      <c r="C205" s="78"/>
      <c r="D205" s="78"/>
      <c r="E205" s="78"/>
      <c r="F205" s="78"/>
    </row>
    <row r="206" spans="2:6" ht="12.9" customHeight="1" x14ac:dyDescent="0.3">
      <c r="B206" s="78"/>
      <c r="C206" s="78"/>
      <c r="D206" s="78"/>
      <c r="E206" s="78"/>
      <c r="F206" s="78"/>
    </row>
    <row r="207" spans="2:6" ht="12.9" customHeight="1" x14ac:dyDescent="0.3">
      <c r="B207" s="78"/>
      <c r="C207" s="78"/>
      <c r="D207" s="78"/>
      <c r="E207" s="78"/>
      <c r="F207" s="78"/>
    </row>
    <row r="208" spans="2:6" ht="12.9" customHeight="1" x14ac:dyDescent="0.3">
      <c r="B208" s="78"/>
      <c r="C208" s="78"/>
      <c r="D208" s="78"/>
      <c r="E208" s="78"/>
      <c r="F208" s="78"/>
    </row>
    <row r="209" spans="2:6" ht="12.9" customHeight="1" x14ac:dyDescent="0.3">
      <c r="B209" s="78"/>
      <c r="C209" s="78"/>
      <c r="D209" s="78"/>
      <c r="E209" s="78"/>
      <c r="F209" s="78"/>
    </row>
    <row r="210" spans="2:6" ht="12.9" customHeight="1" x14ac:dyDescent="0.3">
      <c r="B210" s="78"/>
      <c r="C210" s="78"/>
      <c r="D210" s="78"/>
      <c r="E210" s="78"/>
      <c r="F210" s="78"/>
    </row>
    <row r="211" spans="2:6" ht="12.9" customHeight="1" x14ac:dyDescent="0.3">
      <c r="B211" s="78"/>
      <c r="C211" s="78"/>
      <c r="D211" s="78"/>
      <c r="E211" s="78"/>
      <c r="F211" s="78"/>
    </row>
    <row r="212" spans="2:6" ht="12.9" customHeight="1" x14ac:dyDescent="0.3">
      <c r="B212" s="78"/>
      <c r="C212" s="78"/>
      <c r="D212" s="78"/>
      <c r="E212" s="78"/>
      <c r="F212" s="78"/>
    </row>
    <row r="213" spans="2:6" ht="12.9" customHeight="1" x14ac:dyDescent="0.3">
      <c r="B213" s="78"/>
      <c r="C213" s="78"/>
      <c r="D213" s="78"/>
      <c r="E213" s="78"/>
      <c r="F213" s="78"/>
    </row>
    <row r="214" spans="2:6" ht="12.9" customHeight="1" x14ac:dyDescent="0.3">
      <c r="B214" s="78"/>
      <c r="C214" s="78"/>
      <c r="D214" s="78"/>
      <c r="E214" s="78"/>
      <c r="F214" s="78"/>
    </row>
    <row r="215" spans="2:6" ht="12.9" customHeight="1" x14ac:dyDescent="0.3">
      <c r="B215" s="78"/>
      <c r="C215" s="78"/>
      <c r="D215" s="78"/>
      <c r="E215" s="78"/>
      <c r="F215" s="78"/>
    </row>
    <row r="216" spans="2:6" ht="12.9" customHeight="1" x14ac:dyDescent="0.3">
      <c r="B216" s="78"/>
      <c r="C216" s="78"/>
      <c r="D216" s="78"/>
      <c r="E216" s="78"/>
      <c r="F216" s="78"/>
    </row>
    <row r="217" spans="2:6" ht="12.9" customHeight="1" x14ac:dyDescent="0.3">
      <c r="B217" s="78"/>
      <c r="C217" s="78"/>
      <c r="D217" s="78"/>
      <c r="E217" s="78"/>
      <c r="F217" s="78"/>
    </row>
    <row r="218" spans="2:6" ht="12.9" customHeight="1" x14ac:dyDescent="0.3">
      <c r="B218" s="78"/>
      <c r="C218" s="78"/>
      <c r="D218" s="78"/>
      <c r="E218" s="78"/>
      <c r="F218" s="78"/>
    </row>
    <row r="219" spans="2:6" ht="12.9" customHeight="1" x14ac:dyDescent="0.3">
      <c r="B219" s="78"/>
      <c r="C219" s="78"/>
      <c r="D219" s="78"/>
      <c r="E219" s="78"/>
      <c r="F219" s="78"/>
    </row>
    <row r="220" spans="2:6" ht="12.9" customHeight="1" x14ac:dyDescent="0.3">
      <c r="B220" s="78"/>
      <c r="C220" s="78"/>
      <c r="D220" s="78"/>
      <c r="E220" s="78"/>
      <c r="F220" s="78"/>
    </row>
    <row r="221" spans="2:6" ht="12.9" customHeight="1" x14ac:dyDescent="0.3">
      <c r="B221" s="78"/>
      <c r="C221" s="78"/>
      <c r="D221" s="78"/>
      <c r="E221" s="78"/>
      <c r="F221" s="78"/>
    </row>
    <row r="222" spans="2:6" ht="12.9" customHeight="1" x14ac:dyDescent="0.3">
      <c r="B222" s="78"/>
      <c r="C222" s="78"/>
      <c r="D222" s="78"/>
      <c r="E222" s="78"/>
      <c r="F222" s="78"/>
    </row>
    <row r="223" spans="2:6" ht="12.9" customHeight="1" x14ac:dyDescent="0.3">
      <c r="B223" s="78"/>
      <c r="C223" s="78"/>
      <c r="D223" s="78"/>
      <c r="E223" s="78"/>
      <c r="F223" s="78"/>
    </row>
    <row r="224" spans="2:6" ht="12.9" customHeight="1" x14ac:dyDescent="0.3">
      <c r="B224" s="78"/>
      <c r="C224" s="78"/>
      <c r="D224" s="78"/>
      <c r="E224" s="78"/>
      <c r="F224" s="78"/>
    </row>
    <row r="225" spans="2:6" ht="12.9" customHeight="1" x14ac:dyDescent="0.3">
      <c r="B225" s="78"/>
      <c r="C225" s="78"/>
      <c r="D225" s="78"/>
      <c r="E225" s="78"/>
      <c r="F225" s="78"/>
    </row>
    <row r="226" spans="2:6" ht="12.9" customHeight="1" x14ac:dyDescent="0.3">
      <c r="B226" s="78"/>
      <c r="C226" s="78"/>
      <c r="D226" s="78"/>
      <c r="E226" s="78"/>
      <c r="F226" s="78"/>
    </row>
    <row r="227" spans="2:6" ht="12.9" customHeight="1" x14ac:dyDescent="0.3">
      <c r="B227" s="78"/>
      <c r="C227" s="78"/>
      <c r="D227" s="78"/>
      <c r="E227" s="78"/>
      <c r="F227" s="78"/>
    </row>
    <row r="228" spans="2:6" ht="12.9" customHeight="1" x14ac:dyDescent="0.3">
      <c r="B228" s="78"/>
      <c r="C228" s="78"/>
      <c r="D228" s="78"/>
      <c r="E228" s="78"/>
      <c r="F228" s="78"/>
    </row>
    <row r="229" spans="2:6" ht="12.9" customHeight="1" x14ac:dyDescent="0.3">
      <c r="B229" s="78"/>
      <c r="C229" s="78"/>
      <c r="D229" s="78"/>
      <c r="E229" s="78"/>
      <c r="F229" s="78"/>
    </row>
    <row r="230" spans="2:6" ht="12.6" customHeight="1" x14ac:dyDescent="0.3">
      <c r="B230" s="78"/>
      <c r="C230" s="78"/>
      <c r="D230" s="78"/>
      <c r="E230" s="78"/>
      <c r="F230" s="78"/>
    </row>
    <row r="231" spans="2:6" ht="12.6" customHeight="1" x14ac:dyDescent="0.3">
      <c r="B231" s="78"/>
      <c r="C231" s="78"/>
      <c r="D231" s="78"/>
      <c r="E231" s="78"/>
      <c r="F231" s="78"/>
    </row>
    <row r="232" spans="2:6" ht="12.6" customHeight="1" x14ac:dyDescent="0.3">
      <c r="B232" s="78"/>
      <c r="C232" s="78"/>
      <c r="D232" s="78"/>
      <c r="E232" s="78"/>
      <c r="F232" s="78"/>
    </row>
    <row r="233" spans="2:6" ht="12.6" customHeight="1" x14ac:dyDescent="0.3">
      <c r="B233" s="78"/>
      <c r="C233" s="78"/>
      <c r="D233" s="78"/>
      <c r="E233" s="78"/>
      <c r="F233" s="78"/>
    </row>
    <row r="234" spans="2:6" ht="12.6" customHeight="1" x14ac:dyDescent="0.3">
      <c r="B234" s="78"/>
      <c r="C234" s="78"/>
      <c r="D234" s="78"/>
      <c r="E234" s="78"/>
      <c r="F234" s="78"/>
    </row>
    <row r="235" spans="2:6" ht="12.6" customHeight="1" x14ac:dyDescent="0.3">
      <c r="B235" s="78"/>
      <c r="C235" s="78"/>
      <c r="D235" s="78"/>
      <c r="E235" s="78"/>
      <c r="F235" s="78"/>
    </row>
    <row r="236" spans="2:6" ht="12.6" customHeight="1" x14ac:dyDescent="0.3">
      <c r="B236" s="78"/>
      <c r="C236" s="78"/>
      <c r="D236" s="78"/>
      <c r="E236" s="78"/>
      <c r="F236" s="78"/>
    </row>
    <row r="237" spans="2:6" ht="12.6" customHeight="1" x14ac:dyDescent="0.3">
      <c r="B237" s="78"/>
      <c r="C237" s="78"/>
      <c r="D237" s="78"/>
      <c r="E237" s="78"/>
      <c r="F237" s="78"/>
    </row>
    <row r="238" spans="2:6" ht="12.6" customHeight="1" x14ac:dyDescent="0.3">
      <c r="B238" s="78"/>
      <c r="C238" s="78"/>
      <c r="D238" s="78"/>
      <c r="E238" s="78"/>
      <c r="F238" s="78"/>
    </row>
    <row r="239" spans="2:6" ht="12.6" customHeight="1" x14ac:dyDescent="0.3">
      <c r="B239" s="78"/>
      <c r="C239" s="78"/>
      <c r="D239" s="78"/>
      <c r="E239" s="78"/>
      <c r="F239" s="78"/>
    </row>
    <row r="240" spans="2:6" ht="12.6" customHeight="1" x14ac:dyDescent="0.3">
      <c r="B240" s="78"/>
      <c r="C240" s="78"/>
      <c r="D240" s="78"/>
      <c r="E240" s="78"/>
      <c r="F240" s="78"/>
    </row>
    <row r="241" spans="2:6" ht="12.6" customHeight="1" x14ac:dyDescent="0.3">
      <c r="B241" s="78"/>
      <c r="C241" s="78"/>
      <c r="D241" s="78"/>
      <c r="E241" s="78"/>
      <c r="F241" s="78"/>
    </row>
    <row r="242" spans="2:6" ht="12.6" customHeight="1" x14ac:dyDescent="0.3">
      <c r="B242" s="78"/>
      <c r="C242" s="78"/>
      <c r="D242" s="78"/>
      <c r="E242" s="78"/>
      <c r="F242" s="78"/>
    </row>
    <row r="243" spans="2:6" ht="12.6" customHeight="1" x14ac:dyDescent="0.3">
      <c r="B243" s="78"/>
      <c r="C243" s="78"/>
      <c r="D243" s="78"/>
      <c r="E243" s="78"/>
      <c r="F243" s="78"/>
    </row>
    <row r="244" spans="2:6" ht="12.6" customHeight="1" x14ac:dyDescent="0.3">
      <c r="B244" s="78"/>
      <c r="C244" s="78"/>
      <c r="D244" s="78"/>
      <c r="E244" s="78"/>
      <c r="F244" s="78"/>
    </row>
    <row r="245" spans="2:6" ht="12.6" customHeight="1" x14ac:dyDescent="0.3">
      <c r="B245" s="78"/>
      <c r="C245" s="78"/>
      <c r="D245" s="78"/>
      <c r="E245" s="78"/>
      <c r="F245" s="78"/>
    </row>
    <row r="246" spans="2:6" ht="12.6" customHeight="1" x14ac:dyDescent="0.3">
      <c r="B246" s="78"/>
      <c r="C246" s="78"/>
      <c r="D246" s="78"/>
      <c r="E246" s="78"/>
      <c r="F246" s="78"/>
    </row>
    <row r="247" spans="2:6" ht="12.6" customHeight="1" x14ac:dyDescent="0.3">
      <c r="B247" s="78"/>
      <c r="C247" s="78"/>
      <c r="D247" s="78"/>
      <c r="E247" s="78"/>
      <c r="F247" s="78"/>
    </row>
    <row r="248" spans="2:6" ht="12.6" customHeight="1" x14ac:dyDescent="0.3">
      <c r="B248" s="78"/>
      <c r="C248" s="78"/>
      <c r="D248" s="78"/>
      <c r="E248" s="78"/>
      <c r="F248" s="78"/>
    </row>
    <row r="249" spans="2:6" ht="12.6" customHeight="1" x14ac:dyDescent="0.3">
      <c r="B249" s="78"/>
      <c r="C249" s="78"/>
      <c r="D249" s="78"/>
      <c r="E249" s="78"/>
      <c r="F249" s="78"/>
    </row>
    <row r="250" spans="2:6" ht="12.6" customHeight="1" x14ac:dyDescent="0.3">
      <c r="B250" s="78"/>
      <c r="C250" s="78"/>
      <c r="D250" s="78"/>
      <c r="E250" s="78"/>
      <c r="F250" s="78"/>
    </row>
    <row r="251" spans="2:6" ht="12.6" customHeight="1" x14ac:dyDescent="0.3">
      <c r="B251" s="78"/>
      <c r="C251" s="78"/>
      <c r="D251" s="78"/>
      <c r="E251" s="78"/>
      <c r="F251" s="78"/>
    </row>
    <row r="252" spans="2:6" ht="12.6" customHeight="1" x14ac:dyDescent="0.3">
      <c r="B252" s="78"/>
      <c r="C252" s="78"/>
      <c r="D252" s="78"/>
      <c r="E252" s="78"/>
      <c r="F252" s="78"/>
    </row>
    <row r="253" spans="2:6" ht="12.6" customHeight="1" x14ac:dyDescent="0.3">
      <c r="B253" s="78"/>
      <c r="C253" s="78"/>
      <c r="D253" s="78"/>
      <c r="E253" s="78"/>
      <c r="F253" s="78"/>
    </row>
    <row r="254" spans="2:6" ht="12.6" customHeight="1" x14ac:dyDescent="0.3">
      <c r="B254" s="78"/>
      <c r="C254" s="78"/>
      <c r="D254" s="78"/>
      <c r="E254" s="78"/>
      <c r="F254" s="78"/>
    </row>
    <row r="255" spans="2:6" ht="12.6" customHeight="1" x14ac:dyDescent="0.3">
      <c r="B255" s="78"/>
      <c r="C255" s="78"/>
      <c r="D255" s="78"/>
      <c r="E255" s="78"/>
      <c r="F255" s="78"/>
    </row>
    <row r="256" spans="2:6" ht="12.6" customHeight="1" x14ac:dyDescent="0.3">
      <c r="B256" s="78"/>
      <c r="C256" s="78"/>
      <c r="D256" s="78"/>
      <c r="E256" s="78"/>
      <c r="F256" s="78"/>
    </row>
    <row r="257" spans="2:6" ht="12.6" customHeight="1" x14ac:dyDescent="0.3">
      <c r="B257" s="78"/>
      <c r="C257" s="78"/>
      <c r="D257" s="78"/>
      <c r="E257" s="78"/>
      <c r="F257" s="78"/>
    </row>
    <row r="258" spans="2:6" ht="12.6" customHeight="1" x14ac:dyDescent="0.3">
      <c r="B258" s="78"/>
      <c r="C258" s="78"/>
      <c r="D258" s="78"/>
      <c r="E258" s="78"/>
      <c r="F258" s="78"/>
    </row>
    <row r="259" spans="2:6" ht="12.6" customHeight="1" x14ac:dyDescent="0.3">
      <c r="B259" s="78"/>
      <c r="C259" s="78"/>
      <c r="D259" s="78"/>
      <c r="E259" s="78"/>
      <c r="F259" s="78"/>
    </row>
    <row r="260" spans="2:6" ht="12.6" customHeight="1" x14ac:dyDescent="0.3">
      <c r="B260" s="78"/>
      <c r="C260" s="78"/>
      <c r="D260" s="78"/>
      <c r="E260" s="78"/>
      <c r="F260" s="78"/>
    </row>
    <row r="261" spans="2:6" ht="12.6" customHeight="1" x14ac:dyDescent="0.3">
      <c r="B261" s="78"/>
      <c r="C261" s="78"/>
      <c r="D261" s="78"/>
      <c r="E261" s="78"/>
      <c r="F261" s="78"/>
    </row>
    <row r="262" spans="2:6" ht="12.6" customHeight="1" x14ac:dyDescent="0.3">
      <c r="B262" s="78"/>
      <c r="C262" s="78"/>
      <c r="D262" s="78"/>
      <c r="E262" s="78"/>
      <c r="F262" s="78"/>
    </row>
    <row r="263" spans="2:6" ht="12.6" customHeight="1" x14ac:dyDescent="0.3">
      <c r="B263" s="78"/>
      <c r="C263" s="78"/>
      <c r="D263" s="78"/>
      <c r="E263" s="78"/>
      <c r="F263" s="78"/>
    </row>
    <row r="264" spans="2:6" ht="12.6" customHeight="1" x14ac:dyDescent="0.3">
      <c r="B264" s="78"/>
      <c r="C264" s="78"/>
      <c r="D264" s="78"/>
      <c r="E264" s="78"/>
      <c r="F264" s="78"/>
    </row>
    <row r="265" spans="2:6" ht="12.6" customHeight="1" x14ac:dyDescent="0.3">
      <c r="B265" s="78"/>
      <c r="C265" s="78"/>
      <c r="D265" s="78"/>
      <c r="E265" s="78"/>
      <c r="F265" s="78"/>
    </row>
    <row r="266" spans="2:6" ht="12.6" customHeight="1" x14ac:dyDescent="0.3">
      <c r="B266" s="78"/>
      <c r="C266" s="78"/>
      <c r="D266" s="78"/>
      <c r="E266" s="78"/>
      <c r="F266" s="78"/>
    </row>
    <row r="267" spans="2:6" ht="12.6" customHeight="1" x14ac:dyDescent="0.3">
      <c r="B267" s="78"/>
      <c r="C267" s="78"/>
      <c r="D267" s="78"/>
      <c r="E267" s="78"/>
      <c r="F267" s="78"/>
    </row>
    <row r="268" spans="2:6" ht="12.6" customHeight="1" x14ac:dyDescent="0.3">
      <c r="B268" s="78"/>
      <c r="C268" s="78"/>
      <c r="D268" s="78"/>
      <c r="E268" s="78"/>
      <c r="F268" s="78"/>
    </row>
    <row r="269" spans="2:6" ht="12.6" customHeight="1" x14ac:dyDescent="0.3">
      <c r="B269" s="78"/>
      <c r="C269" s="78"/>
      <c r="D269" s="78"/>
      <c r="E269" s="78"/>
      <c r="F269" s="78"/>
    </row>
    <row r="270" spans="2:6" ht="12.6" customHeight="1" x14ac:dyDescent="0.3">
      <c r="B270" s="78"/>
      <c r="C270" s="78"/>
      <c r="D270" s="78"/>
      <c r="E270" s="78"/>
      <c r="F270" s="78"/>
    </row>
    <row r="271" spans="2:6" ht="12.6" customHeight="1" x14ac:dyDescent="0.3">
      <c r="B271" s="78"/>
      <c r="C271" s="78"/>
      <c r="D271" s="78"/>
      <c r="E271" s="78"/>
      <c r="F271" s="78"/>
    </row>
    <row r="272" spans="2:6" ht="12.6" customHeight="1" x14ac:dyDescent="0.3">
      <c r="B272" s="78"/>
      <c r="C272" s="78"/>
      <c r="D272" s="78"/>
      <c r="E272" s="78"/>
      <c r="F272" s="78"/>
    </row>
    <row r="273" spans="2:6" ht="12.6" customHeight="1" x14ac:dyDescent="0.3">
      <c r="B273" s="78"/>
      <c r="C273" s="78"/>
      <c r="D273" s="78"/>
      <c r="E273" s="78"/>
      <c r="F273" s="78"/>
    </row>
    <row r="274" spans="2:6" ht="12.6" customHeight="1" x14ac:dyDescent="0.3">
      <c r="B274" s="78"/>
      <c r="C274" s="78"/>
      <c r="D274" s="78"/>
      <c r="E274" s="78"/>
      <c r="F274" s="78"/>
    </row>
    <row r="275" spans="2:6" ht="12.6" customHeight="1" x14ac:dyDescent="0.3">
      <c r="B275" s="78"/>
      <c r="C275" s="78"/>
      <c r="D275" s="78"/>
      <c r="E275" s="78"/>
      <c r="F275" s="78"/>
    </row>
    <row r="276" spans="2:6" ht="12.6" customHeight="1" x14ac:dyDescent="0.3">
      <c r="B276" s="78"/>
      <c r="C276" s="78"/>
      <c r="D276" s="78"/>
      <c r="E276" s="78"/>
      <c r="F276" s="78"/>
    </row>
    <row r="277" spans="2:6" ht="12.6" customHeight="1" x14ac:dyDescent="0.3">
      <c r="B277" s="78"/>
      <c r="C277" s="78"/>
      <c r="D277" s="78"/>
      <c r="E277" s="78"/>
      <c r="F277" s="78"/>
    </row>
    <row r="278" spans="2:6" ht="12.6" customHeight="1" x14ac:dyDescent="0.3">
      <c r="B278" s="78"/>
      <c r="C278" s="78"/>
      <c r="D278" s="78"/>
      <c r="E278" s="78"/>
      <c r="F278" s="78"/>
    </row>
    <row r="279" spans="2:6" ht="12.6" customHeight="1" x14ac:dyDescent="0.3">
      <c r="B279" s="78"/>
      <c r="C279" s="78"/>
      <c r="D279" s="78"/>
      <c r="E279" s="78"/>
      <c r="F279" s="78"/>
    </row>
    <row r="280" spans="2:6" ht="12.6" customHeight="1" x14ac:dyDescent="0.3">
      <c r="B280" s="78"/>
      <c r="C280" s="78"/>
      <c r="D280" s="78"/>
      <c r="E280" s="78"/>
      <c r="F280" s="78"/>
    </row>
    <row r="281" spans="2:6" ht="12.6" customHeight="1" x14ac:dyDescent="0.3">
      <c r="B281" s="78"/>
      <c r="C281" s="78"/>
      <c r="D281" s="78"/>
      <c r="E281" s="78"/>
      <c r="F281" s="78"/>
    </row>
    <row r="282" spans="2:6" ht="12.6" customHeight="1" x14ac:dyDescent="0.3">
      <c r="B282" s="78"/>
      <c r="C282" s="78"/>
      <c r="D282" s="78"/>
      <c r="E282" s="78"/>
      <c r="F282" s="78"/>
    </row>
    <row r="283" spans="2:6" ht="12.6" customHeight="1" x14ac:dyDescent="0.3">
      <c r="B283" s="78"/>
      <c r="C283" s="78"/>
      <c r="D283" s="78"/>
      <c r="E283" s="78"/>
      <c r="F283" s="78"/>
    </row>
    <row r="284" spans="2:6" ht="12.6" customHeight="1" x14ac:dyDescent="0.3">
      <c r="B284" s="78"/>
      <c r="C284" s="78"/>
      <c r="D284" s="78"/>
      <c r="E284" s="78"/>
      <c r="F284" s="78"/>
    </row>
    <row r="285" spans="2:6" ht="12.6" customHeight="1" x14ac:dyDescent="0.3">
      <c r="B285" s="78"/>
      <c r="C285" s="78"/>
      <c r="D285" s="78"/>
      <c r="E285" s="78"/>
      <c r="F285" s="78"/>
    </row>
    <row r="286" spans="2:6" ht="12.6" customHeight="1" x14ac:dyDescent="0.3">
      <c r="B286" s="78"/>
      <c r="C286" s="78"/>
      <c r="D286" s="78"/>
      <c r="E286" s="78"/>
      <c r="F286" s="78"/>
    </row>
    <row r="287" spans="2:6" ht="12.6" customHeight="1" x14ac:dyDescent="0.3">
      <c r="B287" s="78"/>
      <c r="C287" s="78"/>
      <c r="D287" s="78"/>
      <c r="E287" s="78"/>
      <c r="F287" s="78"/>
    </row>
    <row r="288" spans="2:6" ht="12.6" customHeight="1" x14ac:dyDescent="0.3">
      <c r="B288" s="78"/>
      <c r="C288" s="78"/>
      <c r="D288" s="78"/>
      <c r="E288" s="78"/>
      <c r="F288" s="78"/>
    </row>
    <row r="289" spans="2:6" ht="12.6" customHeight="1" x14ac:dyDescent="0.3">
      <c r="B289" s="78"/>
      <c r="C289" s="78"/>
      <c r="D289" s="78"/>
      <c r="E289" s="78"/>
      <c r="F289" s="78"/>
    </row>
    <row r="290" spans="2:6" ht="12.6" customHeight="1" x14ac:dyDescent="0.3">
      <c r="B290" s="78"/>
      <c r="C290" s="78"/>
      <c r="D290" s="78"/>
      <c r="E290" s="78"/>
      <c r="F290" s="78"/>
    </row>
    <row r="291" spans="2:6" ht="12.6" customHeight="1" x14ac:dyDescent="0.3">
      <c r="B291" s="78"/>
      <c r="C291" s="78"/>
      <c r="D291" s="78"/>
      <c r="E291" s="78"/>
      <c r="F291" s="78"/>
    </row>
    <row r="292" spans="2:6" ht="12.6" customHeight="1" x14ac:dyDescent="0.3">
      <c r="B292" s="78"/>
      <c r="C292" s="78"/>
      <c r="D292" s="78"/>
      <c r="E292" s="78"/>
      <c r="F292" s="78"/>
    </row>
    <row r="293" spans="2:6" ht="12.6" customHeight="1" x14ac:dyDescent="0.3">
      <c r="B293" s="78"/>
      <c r="C293" s="78"/>
      <c r="D293" s="78"/>
      <c r="E293" s="78"/>
      <c r="F293" s="78"/>
    </row>
    <row r="294" spans="2:6" ht="12.6" customHeight="1" x14ac:dyDescent="0.3">
      <c r="B294" s="78"/>
      <c r="C294" s="78"/>
      <c r="D294" s="78"/>
      <c r="E294" s="78"/>
      <c r="F294" s="78"/>
    </row>
    <row r="295" spans="2:6" ht="12.6" customHeight="1" x14ac:dyDescent="0.3">
      <c r="B295" s="78"/>
      <c r="C295" s="78"/>
      <c r="D295" s="78"/>
      <c r="E295" s="78"/>
      <c r="F295" s="78"/>
    </row>
    <row r="296" spans="2:6" ht="12.6" customHeight="1" x14ac:dyDescent="0.3">
      <c r="B296" s="78"/>
      <c r="C296" s="78"/>
      <c r="D296" s="78"/>
      <c r="E296" s="78"/>
      <c r="F296" s="78"/>
    </row>
    <row r="297" spans="2:6" ht="12.6" customHeight="1" x14ac:dyDescent="0.3">
      <c r="B297" s="78"/>
      <c r="C297" s="78"/>
      <c r="D297" s="78"/>
      <c r="E297" s="78"/>
      <c r="F297" s="78"/>
    </row>
    <row r="298" spans="2:6" ht="12.6" customHeight="1" x14ac:dyDescent="0.3">
      <c r="B298" s="78"/>
      <c r="C298" s="78"/>
      <c r="D298" s="78"/>
      <c r="E298" s="78"/>
      <c r="F298" s="78"/>
    </row>
    <row r="299" spans="2:6" ht="12.6" customHeight="1" x14ac:dyDescent="0.3">
      <c r="B299" s="78"/>
      <c r="C299" s="78"/>
      <c r="D299" s="78"/>
      <c r="E299" s="78"/>
      <c r="F299" s="78"/>
    </row>
    <row r="300" spans="2:6" ht="12.6" customHeight="1" x14ac:dyDescent="0.3">
      <c r="B300" s="78"/>
      <c r="C300" s="78"/>
      <c r="D300" s="78"/>
      <c r="E300" s="78"/>
      <c r="F300" s="78"/>
    </row>
    <row r="301" spans="2:6" ht="12.6" customHeight="1" x14ac:dyDescent="0.3">
      <c r="B301" s="78"/>
      <c r="C301" s="78"/>
      <c r="D301" s="78"/>
      <c r="E301" s="78"/>
      <c r="F301" s="78"/>
    </row>
    <row r="302" spans="2:6" ht="12.6" customHeight="1" x14ac:dyDescent="0.3">
      <c r="B302" s="78"/>
      <c r="C302" s="78"/>
      <c r="D302" s="78"/>
      <c r="E302" s="78"/>
      <c r="F302" s="78"/>
    </row>
    <row r="303" spans="2:6" ht="12.6" customHeight="1" x14ac:dyDescent="0.3">
      <c r="B303" s="78"/>
      <c r="C303" s="78"/>
      <c r="D303" s="78"/>
      <c r="E303" s="78"/>
      <c r="F303" s="78"/>
    </row>
    <row r="304" spans="2:6" ht="12.6" customHeight="1" x14ac:dyDescent="0.3">
      <c r="B304" s="78"/>
      <c r="C304" s="78"/>
      <c r="D304" s="78"/>
      <c r="E304" s="78"/>
      <c r="F304" s="78"/>
    </row>
    <row r="305" spans="2:6" ht="12.6" customHeight="1" x14ac:dyDescent="0.3">
      <c r="B305" s="78"/>
      <c r="C305" s="78"/>
      <c r="D305" s="78"/>
      <c r="E305" s="78"/>
      <c r="F305" s="78"/>
    </row>
    <row r="306" spans="2:6" ht="12.6" customHeight="1" x14ac:dyDescent="0.3">
      <c r="B306" s="78"/>
      <c r="C306" s="78"/>
      <c r="D306" s="78"/>
      <c r="E306" s="78"/>
      <c r="F306" s="78"/>
    </row>
    <row r="307" spans="2:6" ht="12.6" customHeight="1" x14ac:dyDescent="0.3">
      <c r="B307" s="78"/>
      <c r="C307" s="78"/>
      <c r="D307" s="78"/>
      <c r="E307" s="78"/>
      <c r="F307" s="78"/>
    </row>
    <row r="308" spans="2:6" ht="12.6" customHeight="1" x14ac:dyDescent="0.3">
      <c r="B308" s="78"/>
      <c r="C308" s="78"/>
      <c r="D308" s="78"/>
      <c r="E308" s="78"/>
      <c r="F308" s="78"/>
    </row>
    <row r="309" spans="2:6" ht="12.6" customHeight="1" x14ac:dyDescent="0.3">
      <c r="B309" s="78"/>
      <c r="C309" s="78"/>
      <c r="D309" s="78"/>
      <c r="E309" s="78"/>
      <c r="F309" s="78"/>
    </row>
    <row r="310" spans="2:6" ht="12.6" customHeight="1" x14ac:dyDescent="0.3">
      <c r="B310" s="78"/>
      <c r="C310" s="78"/>
      <c r="D310" s="78"/>
      <c r="E310" s="78"/>
      <c r="F310" s="78"/>
    </row>
    <row r="311" spans="2:6" ht="12.6" customHeight="1" x14ac:dyDescent="0.3">
      <c r="B311" s="78"/>
      <c r="C311" s="78"/>
      <c r="D311" s="78"/>
      <c r="E311" s="78"/>
      <c r="F311" s="78"/>
    </row>
    <row r="312" spans="2:6" ht="12.6" customHeight="1" x14ac:dyDescent="0.3">
      <c r="B312" s="78"/>
      <c r="C312" s="78"/>
      <c r="D312" s="78"/>
      <c r="E312" s="78"/>
      <c r="F312" s="78"/>
    </row>
    <row r="313" spans="2:6" ht="12.6" customHeight="1" x14ac:dyDescent="0.3">
      <c r="B313" s="78"/>
      <c r="C313" s="78"/>
      <c r="D313" s="78"/>
      <c r="E313" s="78"/>
      <c r="F313" s="78"/>
    </row>
    <row r="314" spans="2:6" ht="12.6" customHeight="1" x14ac:dyDescent="0.3">
      <c r="B314" s="78"/>
      <c r="C314" s="78"/>
      <c r="D314" s="78"/>
      <c r="E314" s="78"/>
      <c r="F314" s="78"/>
    </row>
    <row r="315" spans="2:6" ht="12.6" customHeight="1" x14ac:dyDescent="0.3">
      <c r="B315" s="78"/>
      <c r="C315" s="78"/>
      <c r="D315" s="78"/>
      <c r="E315" s="78"/>
      <c r="F315" s="78"/>
    </row>
    <row r="316" spans="2:6" ht="12.6" customHeight="1" x14ac:dyDescent="0.3">
      <c r="B316" s="78"/>
      <c r="C316" s="78"/>
      <c r="D316" s="78"/>
      <c r="E316" s="78"/>
      <c r="F316" s="78"/>
    </row>
    <row r="317" spans="2:6" ht="12.6" customHeight="1" x14ac:dyDescent="0.3">
      <c r="B317" s="78"/>
      <c r="C317" s="78"/>
      <c r="D317" s="78"/>
      <c r="E317" s="78"/>
      <c r="F317" s="78"/>
    </row>
    <row r="318" spans="2:6" ht="12.6" customHeight="1" x14ac:dyDescent="0.3">
      <c r="B318" s="78"/>
      <c r="C318" s="78"/>
      <c r="D318" s="78"/>
      <c r="E318" s="78"/>
      <c r="F318" s="78"/>
    </row>
    <row r="319" spans="2:6" ht="12.6" customHeight="1" x14ac:dyDescent="0.3">
      <c r="B319" s="78"/>
      <c r="C319" s="78"/>
      <c r="D319" s="78"/>
      <c r="E319" s="78"/>
      <c r="F319" s="78"/>
    </row>
    <row r="320" spans="2:6" ht="12.6" customHeight="1" x14ac:dyDescent="0.3">
      <c r="B320" s="78"/>
      <c r="C320" s="78"/>
      <c r="D320" s="78"/>
      <c r="E320" s="78"/>
      <c r="F320" s="78"/>
    </row>
    <row r="321" spans="2:6" ht="12.6" customHeight="1" x14ac:dyDescent="0.3">
      <c r="B321" s="78"/>
      <c r="C321" s="78"/>
      <c r="D321" s="78"/>
      <c r="E321" s="78"/>
      <c r="F321" s="78"/>
    </row>
    <row r="322" spans="2:6" ht="12.6" customHeight="1" x14ac:dyDescent="0.3">
      <c r="B322" s="78"/>
      <c r="C322" s="78"/>
      <c r="D322" s="78"/>
      <c r="E322" s="78"/>
      <c r="F322" s="78"/>
    </row>
    <row r="323" spans="2:6" ht="12.6" customHeight="1" x14ac:dyDescent="0.3">
      <c r="B323" s="78"/>
      <c r="C323" s="78"/>
      <c r="D323" s="78"/>
      <c r="E323" s="78"/>
      <c r="F323" s="78"/>
    </row>
    <row r="324" spans="2:6" ht="12.6" customHeight="1" x14ac:dyDescent="0.3">
      <c r="B324" s="78"/>
      <c r="C324" s="78"/>
      <c r="D324" s="78"/>
      <c r="E324" s="78"/>
      <c r="F324" s="78"/>
    </row>
    <row r="325" spans="2:6" ht="12.6" customHeight="1" x14ac:dyDescent="0.3">
      <c r="B325" s="78"/>
      <c r="C325" s="78"/>
      <c r="D325" s="78"/>
      <c r="E325" s="78"/>
      <c r="F325" s="78"/>
    </row>
    <row r="326" spans="2:6" ht="12.6" customHeight="1" x14ac:dyDescent="0.3">
      <c r="B326" s="78"/>
      <c r="C326" s="78"/>
      <c r="D326" s="78"/>
      <c r="E326" s="78"/>
      <c r="F326" s="78"/>
    </row>
    <row r="327" spans="2:6" ht="12.6" customHeight="1" x14ac:dyDescent="0.3">
      <c r="B327" s="78"/>
      <c r="C327" s="78"/>
      <c r="D327" s="78"/>
      <c r="E327" s="78"/>
      <c r="F327" s="78"/>
    </row>
    <row r="328" spans="2:6" ht="12.6" customHeight="1" x14ac:dyDescent="0.3">
      <c r="B328" s="78"/>
      <c r="C328" s="78"/>
      <c r="D328" s="78"/>
      <c r="E328" s="78"/>
      <c r="F328" s="78"/>
    </row>
    <row r="329" spans="2:6" ht="12.6" customHeight="1" x14ac:dyDescent="0.3">
      <c r="B329" s="78"/>
      <c r="C329" s="78"/>
      <c r="D329" s="78"/>
      <c r="E329" s="78"/>
      <c r="F329" s="78"/>
    </row>
    <row r="330" spans="2:6" ht="12.6" customHeight="1" x14ac:dyDescent="0.3">
      <c r="B330" s="78"/>
      <c r="C330" s="78"/>
      <c r="D330" s="78"/>
      <c r="E330" s="78"/>
      <c r="F330" s="78"/>
    </row>
    <row r="331" spans="2:6" ht="12.6" customHeight="1" x14ac:dyDescent="0.3">
      <c r="B331" s="78"/>
      <c r="C331" s="78"/>
      <c r="D331" s="78"/>
      <c r="E331" s="78"/>
      <c r="F331" s="78"/>
    </row>
    <row r="332" spans="2:6" ht="12.6" customHeight="1" x14ac:dyDescent="0.3">
      <c r="B332" s="78"/>
      <c r="C332" s="78"/>
      <c r="D332" s="78"/>
      <c r="E332" s="78"/>
      <c r="F332" s="78"/>
    </row>
    <row r="333" spans="2:6" ht="12.6" customHeight="1" x14ac:dyDescent="0.3">
      <c r="B333" s="78"/>
      <c r="C333" s="78"/>
      <c r="D333" s="78"/>
      <c r="E333" s="78"/>
      <c r="F333" s="78"/>
    </row>
    <row r="334" spans="2:6" ht="12.6" customHeight="1" x14ac:dyDescent="0.3">
      <c r="B334" s="78"/>
      <c r="C334" s="78"/>
      <c r="D334" s="78"/>
      <c r="E334" s="78"/>
      <c r="F334" s="78"/>
    </row>
    <row r="335" spans="2:6" ht="12.6" customHeight="1" x14ac:dyDescent="0.3">
      <c r="B335" s="78"/>
      <c r="C335" s="78"/>
      <c r="D335" s="78"/>
      <c r="E335" s="78"/>
      <c r="F335" s="78"/>
    </row>
    <row r="336" spans="2:6" ht="12.6" customHeight="1" x14ac:dyDescent="0.3">
      <c r="B336" s="78"/>
      <c r="C336" s="78"/>
      <c r="D336" s="78"/>
      <c r="E336" s="78"/>
      <c r="F336" s="78"/>
    </row>
    <row r="337" spans="2:6" ht="12.6" customHeight="1" x14ac:dyDescent="0.3">
      <c r="B337" s="78"/>
      <c r="C337" s="78"/>
      <c r="D337" s="78"/>
      <c r="E337" s="78"/>
      <c r="F337" s="78"/>
    </row>
    <row r="338" spans="2:6" ht="12.6" customHeight="1" x14ac:dyDescent="0.3">
      <c r="B338" s="78"/>
      <c r="C338" s="78"/>
      <c r="D338" s="78"/>
      <c r="E338" s="78"/>
      <c r="F338" s="78"/>
    </row>
    <row r="339" spans="2:6" ht="12.6" customHeight="1" x14ac:dyDescent="0.3">
      <c r="B339" s="78"/>
      <c r="C339" s="78"/>
      <c r="D339" s="78"/>
      <c r="E339" s="78"/>
      <c r="F339" s="78"/>
    </row>
    <row r="340" spans="2:6" ht="12.6" customHeight="1" x14ac:dyDescent="0.3">
      <c r="B340" s="78"/>
      <c r="C340" s="78"/>
      <c r="D340" s="78"/>
      <c r="E340" s="78"/>
      <c r="F340" s="78"/>
    </row>
    <row r="341" spans="2:6" ht="12.6" customHeight="1" x14ac:dyDescent="0.3">
      <c r="B341" s="78"/>
      <c r="C341" s="78"/>
      <c r="D341" s="78"/>
      <c r="E341" s="78"/>
      <c r="F341" s="78"/>
    </row>
    <row r="342" spans="2:6" ht="12.6" customHeight="1" x14ac:dyDescent="0.3">
      <c r="B342" s="78"/>
      <c r="C342" s="78"/>
      <c r="D342" s="78"/>
      <c r="E342" s="78"/>
      <c r="F342" s="78"/>
    </row>
    <row r="343" spans="2:6" ht="12.6" customHeight="1" x14ac:dyDescent="0.3">
      <c r="B343" s="78"/>
      <c r="C343" s="78"/>
      <c r="D343" s="78"/>
      <c r="E343" s="78"/>
      <c r="F343" s="78"/>
    </row>
    <row r="344" spans="2:6" ht="12.6" customHeight="1" x14ac:dyDescent="0.3">
      <c r="B344" s="78"/>
      <c r="C344" s="78"/>
      <c r="D344" s="78"/>
      <c r="E344" s="78"/>
      <c r="F344" s="78"/>
    </row>
    <row r="345" spans="2:6" ht="12.6" customHeight="1" x14ac:dyDescent="0.3">
      <c r="B345" s="78"/>
      <c r="C345" s="78"/>
      <c r="D345" s="78"/>
      <c r="E345" s="78"/>
      <c r="F345" s="78"/>
    </row>
    <row r="346" spans="2:6" ht="12.6" customHeight="1" x14ac:dyDescent="0.3">
      <c r="B346" s="78"/>
      <c r="C346" s="78"/>
      <c r="D346" s="78"/>
      <c r="E346" s="78"/>
      <c r="F346" s="78"/>
    </row>
    <row r="347" spans="2:6" ht="12.6" customHeight="1" x14ac:dyDescent="0.3">
      <c r="B347" s="78"/>
      <c r="C347" s="78"/>
      <c r="D347" s="78"/>
      <c r="E347" s="78"/>
      <c r="F347" s="78"/>
    </row>
    <row r="348" spans="2:6" ht="12.6" customHeight="1" x14ac:dyDescent="0.3">
      <c r="B348" s="78"/>
      <c r="C348" s="78"/>
      <c r="D348" s="78"/>
      <c r="E348" s="78"/>
      <c r="F348" s="78"/>
    </row>
    <row r="349" spans="2:6" ht="12.6" customHeight="1" x14ac:dyDescent="0.3">
      <c r="B349" s="78"/>
      <c r="C349" s="78"/>
      <c r="D349" s="78"/>
      <c r="E349" s="78"/>
      <c r="F349" s="78"/>
    </row>
    <row r="350" spans="2:6" ht="12.6" customHeight="1" x14ac:dyDescent="0.3">
      <c r="B350" s="78"/>
      <c r="C350" s="78"/>
      <c r="D350" s="78"/>
      <c r="E350" s="78"/>
      <c r="F350" s="78"/>
    </row>
    <row r="351" spans="2:6" ht="12.6" customHeight="1" x14ac:dyDescent="0.3">
      <c r="B351" s="78"/>
      <c r="C351" s="78"/>
      <c r="D351" s="78"/>
      <c r="E351" s="78"/>
      <c r="F351" s="78"/>
    </row>
    <row r="352" spans="2:6" ht="12.6" customHeight="1" x14ac:dyDescent="0.3">
      <c r="B352" s="78"/>
      <c r="C352" s="78"/>
      <c r="D352" s="78"/>
      <c r="E352" s="78"/>
      <c r="F352" s="78"/>
    </row>
    <row r="353" spans="2:6" ht="12.6" customHeight="1" x14ac:dyDescent="0.3">
      <c r="B353" s="78"/>
      <c r="C353" s="78"/>
      <c r="D353" s="78"/>
      <c r="E353" s="78"/>
      <c r="F353" s="78"/>
    </row>
    <row r="354" spans="2:6" ht="12.6" customHeight="1" x14ac:dyDescent="0.3">
      <c r="B354" s="78"/>
      <c r="C354" s="78"/>
      <c r="D354" s="78"/>
      <c r="E354" s="78"/>
      <c r="F354" s="78"/>
    </row>
    <row r="355" spans="2:6" ht="12.6" customHeight="1" x14ac:dyDescent="0.3">
      <c r="B355" s="78"/>
      <c r="C355" s="78"/>
      <c r="D355" s="78"/>
      <c r="E355" s="78"/>
      <c r="F355" s="78"/>
    </row>
    <row r="356" spans="2:6" ht="12.6" customHeight="1" x14ac:dyDescent="0.3">
      <c r="B356" s="78"/>
      <c r="C356" s="78"/>
      <c r="D356" s="78"/>
      <c r="E356" s="78"/>
      <c r="F356" s="78"/>
    </row>
    <row r="357" spans="2:6" ht="12.6" customHeight="1" x14ac:dyDescent="0.3">
      <c r="B357" s="78"/>
      <c r="C357" s="78"/>
      <c r="D357" s="78"/>
      <c r="E357" s="78"/>
      <c r="F357" s="78"/>
    </row>
    <row r="358" spans="2:6" ht="12.6" customHeight="1" x14ac:dyDescent="0.3">
      <c r="B358" s="78"/>
      <c r="C358" s="78"/>
      <c r="D358" s="78"/>
      <c r="E358" s="78"/>
      <c r="F358" s="78"/>
    </row>
    <row r="359" spans="2:6" ht="12.6" customHeight="1" x14ac:dyDescent="0.3">
      <c r="B359" s="78"/>
      <c r="C359" s="78"/>
      <c r="D359" s="78"/>
      <c r="E359" s="78"/>
      <c r="F359" s="78"/>
    </row>
    <row r="360" spans="2:6" ht="12.6" customHeight="1" x14ac:dyDescent="0.3">
      <c r="B360" s="78"/>
      <c r="C360" s="78"/>
      <c r="D360" s="78"/>
      <c r="E360" s="78"/>
      <c r="F360" s="78"/>
    </row>
    <row r="361" spans="2:6" ht="12.6" customHeight="1" x14ac:dyDescent="0.3">
      <c r="B361" s="78"/>
      <c r="C361" s="78"/>
      <c r="D361" s="78"/>
      <c r="E361" s="78"/>
      <c r="F361" s="78"/>
    </row>
    <row r="362" spans="2:6" ht="12.6" customHeight="1" x14ac:dyDescent="0.3">
      <c r="B362" s="78"/>
      <c r="C362" s="78"/>
      <c r="D362" s="78"/>
      <c r="E362" s="78"/>
      <c r="F362" s="78"/>
    </row>
    <row r="363" spans="2:6" ht="12.6" customHeight="1" x14ac:dyDescent="0.3">
      <c r="B363" s="78"/>
      <c r="C363" s="78"/>
      <c r="D363" s="78"/>
      <c r="E363" s="78"/>
      <c r="F363" s="78"/>
    </row>
    <row r="364" spans="2:6" ht="12.6" customHeight="1" x14ac:dyDescent="0.3">
      <c r="B364" s="78"/>
      <c r="C364" s="78"/>
      <c r="D364" s="78"/>
      <c r="E364" s="78"/>
      <c r="F364" s="78"/>
    </row>
    <row r="365" spans="2:6" ht="12.6" customHeight="1" x14ac:dyDescent="0.3">
      <c r="B365" s="78"/>
      <c r="C365" s="78"/>
      <c r="D365" s="78"/>
      <c r="E365" s="78"/>
      <c r="F365" s="78"/>
    </row>
    <row r="366" spans="2:6" ht="12.6" customHeight="1" x14ac:dyDescent="0.3">
      <c r="B366" s="78"/>
      <c r="C366" s="78"/>
      <c r="D366" s="78"/>
      <c r="E366" s="78"/>
      <c r="F366" s="78"/>
    </row>
    <row r="367" spans="2:6" ht="12.6" customHeight="1" x14ac:dyDescent="0.3">
      <c r="B367" s="78"/>
      <c r="C367" s="78"/>
      <c r="D367" s="78"/>
      <c r="E367" s="78"/>
      <c r="F367" s="78"/>
    </row>
    <row r="368" spans="2:6" ht="12.6" customHeight="1" x14ac:dyDescent="0.3">
      <c r="B368" s="78"/>
      <c r="C368" s="78"/>
      <c r="D368" s="78"/>
      <c r="E368" s="78"/>
      <c r="F368" s="78"/>
    </row>
    <row r="369" spans="2:6" ht="12.6" customHeight="1" x14ac:dyDescent="0.3">
      <c r="B369" s="78"/>
      <c r="C369" s="78"/>
      <c r="D369" s="78"/>
      <c r="E369" s="78"/>
      <c r="F369" s="78"/>
    </row>
    <row r="370" spans="2:6" ht="12.6" customHeight="1" x14ac:dyDescent="0.3">
      <c r="B370" s="78"/>
      <c r="C370" s="78"/>
      <c r="D370" s="78"/>
      <c r="E370" s="78"/>
      <c r="F370" s="78"/>
    </row>
    <row r="371" spans="2:6" ht="12.6" customHeight="1" x14ac:dyDescent="0.3">
      <c r="B371" s="78"/>
      <c r="C371" s="78"/>
      <c r="D371" s="78"/>
      <c r="E371" s="78"/>
      <c r="F371" s="78"/>
    </row>
    <row r="372" spans="2:6" ht="12.6" customHeight="1" x14ac:dyDescent="0.3">
      <c r="B372" s="78"/>
      <c r="C372" s="78"/>
      <c r="D372" s="78"/>
      <c r="E372" s="78"/>
      <c r="F372" s="78"/>
    </row>
    <row r="373" spans="2:6" ht="12.6" customHeight="1" x14ac:dyDescent="0.3">
      <c r="B373" s="78"/>
      <c r="C373" s="78"/>
      <c r="D373" s="78"/>
      <c r="E373" s="78"/>
      <c r="F373" s="78"/>
    </row>
    <row r="374" spans="2:6" ht="12.6" customHeight="1" x14ac:dyDescent="0.3">
      <c r="B374" s="78"/>
      <c r="C374" s="78"/>
      <c r="D374" s="78"/>
      <c r="E374" s="78"/>
      <c r="F374" s="78"/>
    </row>
    <row r="375" spans="2:6" ht="12.6" customHeight="1" x14ac:dyDescent="0.3">
      <c r="B375" s="78"/>
      <c r="C375" s="78"/>
      <c r="D375" s="78"/>
      <c r="E375" s="78"/>
      <c r="F375" s="78"/>
    </row>
    <row r="376" spans="2:6" ht="12.6" customHeight="1" x14ac:dyDescent="0.3">
      <c r="B376" s="78"/>
      <c r="C376" s="78"/>
      <c r="D376" s="78"/>
      <c r="E376" s="78"/>
      <c r="F376" s="78"/>
    </row>
    <row r="377" spans="2:6" ht="12.6" customHeight="1" x14ac:dyDescent="0.3">
      <c r="B377" s="78"/>
      <c r="C377" s="78"/>
      <c r="D377" s="78"/>
      <c r="E377" s="78"/>
      <c r="F377" s="78"/>
    </row>
    <row r="378" spans="2:6" ht="12.6" customHeight="1" x14ac:dyDescent="0.3">
      <c r="B378" s="78"/>
      <c r="C378" s="78"/>
      <c r="D378" s="78"/>
      <c r="E378" s="78"/>
      <c r="F378" s="78"/>
    </row>
    <row r="379" spans="2:6" ht="12.6" customHeight="1" x14ac:dyDescent="0.3">
      <c r="B379" s="78"/>
      <c r="C379" s="78"/>
      <c r="D379" s="78"/>
      <c r="E379" s="78"/>
      <c r="F379" s="78"/>
    </row>
    <row r="380" spans="2:6" ht="12.6" customHeight="1" x14ac:dyDescent="0.3">
      <c r="B380" s="78"/>
      <c r="C380" s="78"/>
      <c r="D380" s="78"/>
      <c r="E380" s="78"/>
      <c r="F380" s="78"/>
    </row>
    <row r="381" spans="2:6" ht="12.6" customHeight="1" x14ac:dyDescent="0.3">
      <c r="B381" s="78"/>
      <c r="C381" s="78"/>
      <c r="D381" s="78"/>
      <c r="E381" s="78"/>
      <c r="F381" s="78"/>
    </row>
    <row r="382" spans="2:6" ht="12.6" customHeight="1" x14ac:dyDescent="0.3">
      <c r="B382" s="78"/>
      <c r="C382" s="78"/>
      <c r="D382" s="78"/>
      <c r="E382" s="78"/>
      <c r="F382" s="78"/>
    </row>
    <row r="383" spans="2:6" ht="12.6" customHeight="1" x14ac:dyDescent="0.3">
      <c r="B383" s="78"/>
      <c r="C383" s="78"/>
      <c r="D383" s="78"/>
      <c r="E383" s="78"/>
      <c r="F383" s="78"/>
    </row>
    <row r="384" spans="2:6" ht="12.6" customHeight="1" x14ac:dyDescent="0.3">
      <c r="B384" s="78"/>
      <c r="C384" s="78"/>
      <c r="D384" s="78"/>
      <c r="E384" s="78"/>
      <c r="F384" s="78"/>
    </row>
    <row r="385" spans="2:6" ht="12.6" customHeight="1" x14ac:dyDescent="0.3">
      <c r="B385" s="78"/>
      <c r="C385" s="78"/>
      <c r="D385" s="78"/>
      <c r="E385" s="78"/>
      <c r="F385" s="78"/>
    </row>
    <row r="386" spans="2:6" ht="12.6" customHeight="1" x14ac:dyDescent="0.3">
      <c r="B386" s="78"/>
      <c r="C386" s="78"/>
      <c r="D386" s="78"/>
      <c r="E386" s="78"/>
      <c r="F386" s="78"/>
    </row>
    <row r="387" spans="2:6" ht="12.6" customHeight="1" x14ac:dyDescent="0.3">
      <c r="B387" s="78"/>
      <c r="C387" s="78"/>
      <c r="D387" s="78"/>
      <c r="E387" s="78"/>
      <c r="F387" s="78"/>
    </row>
    <row r="388" spans="2:6" ht="12.6" customHeight="1" x14ac:dyDescent="0.3">
      <c r="B388" s="78"/>
      <c r="C388" s="78"/>
      <c r="D388" s="78"/>
      <c r="E388" s="78"/>
      <c r="F388" s="78"/>
    </row>
    <row r="389" spans="2:6" ht="12.6" customHeight="1" x14ac:dyDescent="0.3">
      <c r="B389" s="78"/>
      <c r="C389" s="78"/>
      <c r="D389" s="78"/>
      <c r="E389" s="78"/>
      <c r="F389" s="78"/>
    </row>
    <row r="390" spans="2:6" ht="12.6" customHeight="1" x14ac:dyDescent="0.3">
      <c r="B390" s="78"/>
      <c r="C390" s="78"/>
      <c r="D390" s="78"/>
      <c r="E390" s="78"/>
      <c r="F390" s="78"/>
    </row>
    <row r="391" spans="2:6" ht="12.6" customHeight="1" x14ac:dyDescent="0.3">
      <c r="B391" s="78"/>
      <c r="C391" s="78"/>
      <c r="D391" s="78"/>
      <c r="E391" s="78"/>
      <c r="F391" s="78"/>
    </row>
    <row r="392" spans="2:6" ht="12.6" customHeight="1" x14ac:dyDescent="0.3">
      <c r="B392" s="78"/>
      <c r="C392" s="78"/>
      <c r="D392" s="78"/>
      <c r="E392" s="78"/>
      <c r="F392" s="78"/>
    </row>
    <row r="393" spans="2:6" ht="12.6" customHeight="1" x14ac:dyDescent="0.3">
      <c r="B393" s="78"/>
      <c r="C393" s="78"/>
      <c r="D393" s="78"/>
      <c r="E393" s="78"/>
      <c r="F393" s="78"/>
    </row>
    <row r="394" spans="2:6" ht="12.6" customHeight="1" x14ac:dyDescent="0.3">
      <c r="B394" s="78"/>
      <c r="C394" s="78"/>
      <c r="D394" s="78"/>
      <c r="E394" s="78"/>
      <c r="F394" s="78"/>
    </row>
    <row r="395" spans="2:6" ht="12.6" customHeight="1" x14ac:dyDescent="0.3">
      <c r="B395" s="78"/>
      <c r="C395" s="78"/>
      <c r="D395" s="78"/>
      <c r="E395" s="78"/>
      <c r="F395" s="78"/>
    </row>
    <row r="396" spans="2:6" ht="12.6" customHeight="1" x14ac:dyDescent="0.3">
      <c r="B396" s="78"/>
      <c r="C396" s="78"/>
      <c r="D396" s="78"/>
      <c r="E396" s="78"/>
      <c r="F396" s="78"/>
    </row>
    <row r="397" spans="2:6" ht="12.6" customHeight="1" x14ac:dyDescent="0.3">
      <c r="B397" s="78"/>
      <c r="C397" s="78"/>
      <c r="D397" s="78"/>
      <c r="E397" s="78"/>
      <c r="F397" s="78"/>
    </row>
    <row r="398" spans="2:6" ht="12.6" customHeight="1" x14ac:dyDescent="0.3">
      <c r="B398" s="78"/>
      <c r="C398" s="78"/>
      <c r="D398" s="78"/>
      <c r="E398" s="78"/>
      <c r="F398" s="78"/>
    </row>
    <row r="399" spans="2:6" ht="12.6" customHeight="1" x14ac:dyDescent="0.3">
      <c r="B399" s="78"/>
      <c r="C399" s="78"/>
      <c r="D399" s="78"/>
      <c r="E399" s="78"/>
      <c r="F399" s="78"/>
    </row>
    <row r="400" spans="2:6" ht="12.6" customHeight="1" x14ac:dyDescent="0.3">
      <c r="B400" s="78"/>
      <c r="C400" s="78"/>
      <c r="D400" s="78"/>
      <c r="E400" s="78"/>
      <c r="F400" s="78"/>
    </row>
    <row r="401" spans="2:6" ht="12.6" customHeight="1" x14ac:dyDescent="0.3">
      <c r="B401" s="78"/>
      <c r="C401" s="78"/>
      <c r="D401" s="78"/>
      <c r="E401" s="78"/>
      <c r="F401" s="78"/>
    </row>
    <row r="402" spans="2:6" ht="12.6" customHeight="1" x14ac:dyDescent="0.3">
      <c r="B402" s="78"/>
      <c r="C402" s="78"/>
      <c r="D402" s="78"/>
      <c r="E402" s="78"/>
      <c r="F402" s="78"/>
    </row>
    <row r="403" spans="2:6" ht="12.6" customHeight="1" x14ac:dyDescent="0.3">
      <c r="B403" s="78"/>
      <c r="C403" s="78"/>
      <c r="D403" s="78"/>
      <c r="E403" s="78"/>
      <c r="F403" s="78"/>
    </row>
    <row r="404" spans="2:6" ht="12.6" customHeight="1" x14ac:dyDescent="0.3">
      <c r="B404" s="78"/>
      <c r="C404" s="78"/>
      <c r="D404" s="78"/>
      <c r="E404" s="78"/>
      <c r="F404" s="78"/>
    </row>
    <row r="405" spans="2:6" ht="12.6" customHeight="1" x14ac:dyDescent="0.3">
      <c r="B405" s="78"/>
      <c r="C405" s="78"/>
      <c r="D405" s="78"/>
      <c r="E405" s="78"/>
      <c r="F405" s="78"/>
    </row>
    <row r="406" spans="2:6" ht="12.6" customHeight="1" x14ac:dyDescent="0.3">
      <c r="B406" s="78"/>
      <c r="C406" s="78"/>
      <c r="D406" s="78"/>
      <c r="E406" s="78"/>
      <c r="F406" s="78"/>
    </row>
    <row r="407" spans="2:6" ht="12.6" customHeight="1" x14ac:dyDescent="0.3">
      <c r="B407" s="78"/>
      <c r="C407" s="78"/>
      <c r="D407" s="78"/>
      <c r="E407" s="78"/>
      <c r="F407" s="78"/>
    </row>
    <row r="408" spans="2:6" ht="12.6" customHeight="1" x14ac:dyDescent="0.3">
      <c r="B408" s="78"/>
      <c r="C408" s="78"/>
      <c r="D408" s="78"/>
      <c r="E408" s="78"/>
      <c r="F408" s="78"/>
    </row>
    <row r="409" spans="2:6" ht="12.6" customHeight="1" x14ac:dyDescent="0.3">
      <c r="B409" s="78"/>
      <c r="C409" s="78"/>
      <c r="D409" s="78"/>
      <c r="E409" s="78"/>
      <c r="F409" s="78"/>
    </row>
    <row r="410" spans="2:6" ht="12.6" customHeight="1" x14ac:dyDescent="0.3">
      <c r="B410" s="78"/>
      <c r="C410" s="78"/>
      <c r="D410" s="78"/>
      <c r="E410" s="78"/>
      <c r="F410" s="78"/>
    </row>
    <row r="411" spans="2:6" ht="12.6" customHeight="1" x14ac:dyDescent="0.3">
      <c r="B411" s="78"/>
      <c r="C411" s="78"/>
      <c r="D411" s="78"/>
      <c r="E411" s="78"/>
      <c r="F411" s="78"/>
    </row>
    <row r="412" spans="2:6" ht="12.6" customHeight="1" x14ac:dyDescent="0.3">
      <c r="B412" s="78"/>
      <c r="C412" s="78"/>
      <c r="D412" s="78"/>
      <c r="E412" s="78"/>
      <c r="F412" s="78"/>
    </row>
    <row r="413" spans="2:6" ht="12.6" customHeight="1" x14ac:dyDescent="0.3">
      <c r="B413" s="78"/>
      <c r="C413" s="78"/>
      <c r="D413" s="78"/>
      <c r="E413" s="78"/>
      <c r="F413" s="78"/>
    </row>
    <row r="414" spans="2:6" ht="12.6" customHeight="1" x14ac:dyDescent="0.3">
      <c r="B414" s="78"/>
      <c r="C414" s="78"/>
      <c r="D414" s="78"/>
      <c r="E414" s="78"/>
      <c r="F414" s="78"/>
    </row>
    <row r="415" spans="2:6" ht="12.6" customHeight="1" x14ac:dyDescent="0.3">
      <c r="B415" s="78"/>
      <c r="C415" s="78"/>
      <c r="D415" s="78"/>
      <c r="E415" s="78"/>
      <c r="F415" s="78"/>
    </row>
    <row r="416" spans="2:6" ht="12.6" customHeight="1" x14ac:dyDescent="0.3">
      <c r="B416" s="78"/>
      <c r="C416" s="78"/>
      <c r="D416" s="78"/>
      <c r="E416" s="78"/>
      <c r="F416" s="78"/>
    </row>
    <row r="417" spans="2:6" ht="12.6" customHeight="1" x14ac:dyDescent="0.3">
      <c r="B417" s="78"/>
      <c r="C417" s="78"/>
      <c r="D417" s="78"/>
      <c r="E417" s="78"/>
      <c r="F417" s="78"/>
    </row>
    <row r="418" spans="2:6" ht="12.6" customHeight="1" x14ac:dyDescent="0.3">
      <c r="B418" s="78"/>
      <c r="C418" s="78"/>
      <c r="D418" s="78"/>
      <c r="E418" s="78"/>
      <c r="F418" s="78"/>
    </row>
    <row r="419" spans="2:6" ht="12.6" customHeight="1" x14ac:dyDescent="0.3">
      <c r="B419" s="78"/>
      <c r="C419" s="78"/>
      <c r="D419" s="78"/>
      <c r="E419" s="78"/>
      <c r="F419" s="78"/>
    </row>
    <row r="420" spans="2:6" ht="12.6" customHeight="1" x14ac:dyDescent="0.3">
      <c r="B420" s="78"/>
      <c r="C420" s="78"/>
      <c r="D420" s="78"/>
      <c r="E420" s="78"/>
      <c r="F420" s="78"/>
    </row>
    <row r="421" spans="2:6" ht="12.6" customHeight="1" x14ac:dyDescent="0.3">
      <c r="B421" s="78"/>
      <c r="C421" s="78"/>
      <c r="D421" s="78"/>
      <c r="E421" s="78"/>
      <c r="F421" s="78"/>
    </row>
    <row r="422" spans="2:6" ht="12.6" customHeight="1" x14ac:dyDescent="0.3">
      <c r="B422" s="78"/>
      <c r="C422" s="78"/>
      <c r="D422" s="78"/>
      <c r="E422" s="78"/>
      <c r="F422" s="78"/>
    </row>
    <row r="423" spans="2:6" ht="12.6" customHeight="1" x14ac:dyDescent="0.3">
      <c r="B423" s="78"/>
      <c r="C423" s="78"/>
      <c r="D423" s="78"/>
      <c r="E423" s="78"/>
      <c r="F423" s="78"/>
    </row>
    <row r="424" spans="2:6" ht="12.6" customHeight="1" x14ac:dyDescent="0.3">
      <c r="B424" s="78"/>
      <c r="C424" s="78"/>
      <c r="D424" s="78"/>
      <c r="E424" s="78"/>
      <c r="F424" s="78"/>
    </row>
    <row r="425" spans="2:6" ht="12.6" customHeight="1" x14ac:dyDescent="0.3">
      <c r="B425" s="78"/>
      <c r="C425" s="78"/>
      <c r="D425" s="78"/>
      <c r="E425" s="78"/>
      <c r="F425" s="78"/>
    </row>
    <row r="426" spans="2:6" ht="12.6" customHeight="1" x14ac:dyDescent="0.3">
      <c r="B426" s="78"/>
      <c r="C426" s="78"/>
      <c r="D426" s="78"/>
      <c r="E426" s="78"/>
      <c r="F426" s="78"/>
    </row>
    <row r="427" spans="2:6" ht="12.6" customHeight="1" x14ac:dyDescent="0.3">
      <c r="B427" s="78"/>
      <c r="C427" s="78"/>
      <c r="D427" s="78"/>
      <c r="E427" s="78"/>
      <c r="F427" s="78"/>
    </row>
    <row r="428" spans="2:6" ht="12.6" customHeight="1" x14ac:dyDescent="0.3">
      <c r="B428" s="78"/>
      <c r="C428" s="78"/>
      <c r="D428" s="78"/>
      <c r="E428" s="78"/>
      <c r="F428" s="78"/>
    </row>
    <row r="429" spans="2:6" ht="12.6" customHeight="1" x14ac:dyDescent="0.3">
      <c r="B429" s="78"/>
      <c r="C429" s="78"/>
      <c r="D429" s="78"/>
      <c r="E429" s="78"/>
      <c r="F429" s="78"/>
    </row>
    <row r="430" spans="2:6" ht="12.6" customHeight="1" x14ac:dyDescent="0.3">
      <c r="B430" s="78"/>
      <c r="C430" s="78"/>
      <c r="D430" s="78"/>
      <c r="E430" s="78"/>
      <c r="F430" s="78"/>
    </row>
    <row r="431" spans="2:6" ht="12.6" customHeight="1" x14ac:dyDescent="0.3">
      <c r="B431" s="78"/>
      <c r="C431" s="78"/>
      <c r="D431" s="78"/>
      <c r="E431" s="78"/>
      <c r="F431" s="78"/>
    </row>
    <row r="432" spans="2:6" ht="12.6" customHeight="1" x14ac:dyDescent="0.3">
      <c r="B432" s="78"/>
      <c r="C432" s="78"/>
      <c r="D432" s="78"/>
      <c r="E432" s="78"/>
      <c r="F432" s="78"/>
    </row>
    <row r="433" spans="2:6" ht="12.6" customHeight="1" x14ac:dyDescent="0.3">
      <c r="B433" s="78"/>
      <c r="C433" s="78"/>
      <c r="D433" s="78"/>
      <c r="E433" s="78"/>
      <c r="F433" s="78"/>
    </row>
    <row r="434" spans="2:6" ht="12.6" customHeight="1" x14ac:dyDescent="0.3">
      <c r="B434" s="78"/>
      <c r="C434" s="78"/>
      <c r="D434" s="78"/>
      <c r="E434" s="78"/>
      <c r="F434" s="78"/>
    </row>
    <row r="435" spans="2:6" ht="12.6" customHeight="1" x14ac:dyDescent="0.3">
      <c r="B435" s="78"/>
      <c r="C435" s="78"/>
      <c r="D435" s="78"/>
      <c r="E435" s="78"/>
      <c r="F435" s="78"/>
    </row>
    <row r="436" spans="2:6" ht="12.6" customHeight="1" x14ac:dyDescent="0.3">
      <c r="B436" s="78"/>
      <c r="C436" s="78"/>
      <c r="D436" s="78"/>
      <c r="E436" s="78"/>
      <c r="F436" s="78"/>
    </row>
    <row r="437" spans="2:6" ht="12.6" customHeight="1" x14ac:dyDescent="0.3">
      <c r="B437" s="78"/>
      <c r="C437" s="78"/>
      <c r="D437" s="78"/>
      <c r="E437" s="78"/>
      <c r="F437" s="78"/>
    </row>
    <row r="438" spans="2:6" ht="12.6" customHeight="1" x14ac:dyDescent="0.3">
      <c r="B438" s="78"/>
      <c r="C438" s="78"/>
      <c r="D438" s="78"/>
      <c r="E438" s="78"/>
      <c r="F438" s="78"/>
    </row>
    <row r="439" spans="2:6" ht="12.6" customHeight="1" x14ac:dyDescent="0.3">
      <c r="B439" s="78"/>
      <c r="C439" s="78"/>
      <c r="D439" s="78"/>
      <c r="E439" s="78"/>
      <c r="F439" s="78"/>
    </row>
    <row r="440" spans="2:6" ht="12.6" customHeight="1" x14ac:dyDescent="0.3">
      <c r="B440" s="78"/>
      <c r="C440" s="78"/>
      <c r="D440" s="78"/>
      <c r="E440" s="78"/>
      <c r="F440" s="78"/>
    </row>
    <row r="441" spans="2:6" ht="12.6" customHeight="1" x14ac:dyDescent="0.3">
      <c r="B441" s="78"/>
      <c r="C441" s="78"/>
      <c r="D441" s="78"/>
      <c r="E441" s="78"/>
      <c r="F441" s="78"/>
    </row>
    <row r="442" spans="2:6" ht="12.6" customHeight="1" x14ac:dyDescent="0.3">
      <c r="B442" s="78"/>
      <c r="C442" s="78"/>
      <c r="D442" s="78"/>
      <c r="E442" s="78"/>
      <c r="F442" s="78"/>
    </row>
    <row r="443" spans="2:6" ht="12.6" customHeight="1" x14ac:dyDescent="0.3">
      <c r="B443" s="78"/>
      <c r="C443" s="78"/>
      <c r="D443" s="78"/>
      <c r="E443" s="78"/>
      <c r="F443" s="78"/>
    </row>
    <row r="444" spans="2:6" ht="12.6" customHeight="1" x14ac:dyDescent="0.3">
      <c r="B444" s="78"/>
      <c r="C444" s="78"/>
      <c r="D444" s="78"/>
      <c r="E444" s="78"/>
      <c r="F444" s="78"/>
    </row>
    <row r="445" spans="2:6" ht="12.6" customHeight="1" x14ac:dyDescent="0.3">
      <c r="B445" s="78"/>
      <c r="C445" s="78"/>
      <c r="D445" s="78"/>
      <c r="E445" s="78"/>
      <c r="F445" s="78"/>
    </row>
    <row r="446" spans="2:6" ht="12.6" customHeight="1" x14ac:dyDescent="0.3">
      <c r="B446" s="78"/>
      <c r="C446" s="78"/>
      <c r="D446" s="78"/>
      <c r="E446" s="78"/>
      <c r="F446" s="78"/>
    </row>
    <row r="447" spans="2:6" ht="12.6" customHeight="1" x14ac:dyDescent="0.3">
      <c r="B447" s="78"/>
      <c r="C447" s="78"/>
      <c r="D447" s="78"/>
      <c r="E447" s="78"/>
      <c r="F447" s="78"/>
    </row>
    <row r="448" spans="2:6" ht="12.6" customHeight="1" x14ac:dyDescent="0.3">
      <c r="B448" s="78"/>
      <c r="C448" s="78"/>
      <c r="D448" s="78"/>
      <c r="E448" s="78"/>
      <c r="F448" s="78"/>
    </row>
    <row r="449" spans="2:6" ht="12.6" customHeight="1" x14ac:dyDescent="0.3">
      <c r="B449" s="78"/>
      <c r="C449" s="78"/>
      <c r="D449" s="78"/>
      <c r="E449" s="78"/>
      <c r="F449" s="78"/>
    </row>
    <row r="450" spans="2:6" ht="12.6" customHeight="1" x14ac:dyDescent="0.3">
      <c r="B450" s="78"/>
      <c r="C450" s="78"/>
      <c r="D450" s="78"/>
      <c r="E450" s="78"/>
      <c r="F450" s="78"/>
    </row>
    <row r="451" spans="2:6" ht="12.6" customHeight="1" x14ac:dyDescent="0.3">
      <c r="B451" s="78"/>
      <c r="C451" s="78"/>
      <c r="D451" s="78"/>
      <c r="E451" s="78"/>
      <c r="F451" s="78"/>
    </row>
    <row r="452" spans="2:6" ht="12.6" customHeight="1" x14ac:dyDescent="0.3">
      <c r="B452" s="78"/>
      <c r="C452" s="78"/>
      <c r="D452" s="78"/>
      <c r="E452" s="78"/>
      <c r="F452" s="78"/>
    </row>
    <row r="453" spans="2:6" ht="12.6" customHeight="1" x14ac:dyDescent="0.3">
      <c r="B453" s="78"/>
      <c r="C453" s="78"/>
      <c r="D453" s="78"/>
      <c r="E453" s="78"/>
      <c r="F453" s="78"/>
    </row>
    <row r="454" spans="2:6" ht="12.6" customHeight="1" x14ac:dyDescent="0.3">
      <c r="B454" s="78"/>
      <c r="C454" s="78"/>
      <c r="D454" s="78"/>
      <c r="E454" s="78"/>
      <c r="F454" s="78"/>
    </row>
    <row r="455" spans="2:6" ht="12.6" customHeight="1" x14ac:dyDescent="0.3">
      <c r="B455" s="78"/>
      <c r="C455" s="78"/>
      <c r="D455" s="78"/>
      <c r="E455" s="78"/>
      <c r="F455" s="78"/>
    </row>
    <row r="456" spans="2:6" ht="12.6" customHeight="1" x14ac:dyDescent="0.3">
      <c r="B456" s="78"/>
      <c r="C456" s="78"/>
      <c r="D456" s="78"/>
      <c r="E456" s="78"/>
      <c r="F456" s="78"/>
    </row>
    <row r="457" spans="2:6" ht="12.6" customHeight="1" x14ac:dyDescent="0.3">
      <c r="B457" s="78"/>
      <c r="C457" s="78"/>
      <c r="D457" s="78"/>
      <c r="E457" s="78"/>
      <c r="F457" s="78"/>
    </row>
    <row r="458" spans="2:6" ht="12.6" customHeight="1" x14ac:dyDescent="0.3">
      <c r="B458" s="78"/>
      <c r="C458" s="78"/>
      <c r="D458" s="78"/>
      <c r="E458" s="78"/>
      <c r="F458" s="78"/>
    </row>
    <row r="459" spans="2:6" ht="12.6" customHeight="1" x14ac:dyDescent="0.3">
      <c r="B459" s="78"/>
      <c r="C459" s="78"/>
      <c r="D459" s="78"/>
      <c r="E459" s="78"/>
      <c r="F459" s="78"/>
    </row>
    <row r="460" spans="2:6" ht="12.6" customHeight="1" x14ac:dyDescent="0.3">
      <c r="B460" s="78"/>
      <c r="C460" s="78"/>
      <c r="D460" s="78"/>
      <c r="E460" s="78"/>
      <c r="F460" s="78"/>
    </row>
    <row r="461" spans="2:6" ht="12.6" customHeight="1" x14ac:dyDescent="0.3">
      <c r="B461" s="78"/>
      <c r="C461" s="78"/>
      <c r="D461" s="78"/>
      <c r="E461" s="78"/>
      <c r="F461" s="78"/>
    </row>
    <row r="462" spans="2:6" ht="12.6" customHeight="1" x14ac:dyDescent="0.3">
      <c r="B462" s="78"/>
      <c r="C462" s="78"/>
      <c r="D462" s="78"/>
      <c r="E462" s="78"/>
      <c r="F462" s="78"/>
    </row>
    <row r="463" spans="2:6" ht="12.6" customHeight="1" x14ac:dyDescent="0.3">
      <c r="B463" s="78"/>
      <c r="C463" s="78"/>
      <c r="D463" s="78"/>
      <c r="E463" s="78"/>
      <c r="F463" s="78"/>
    </row>
    <row r="464" spans="2:6" ht="12.6" customHeight="1" x14ac:dyDescent="0.3">
      <c r="B464" s="78"/>
      <c r="C464" s="78"/>
      <c r="D464" s="78"/>
      <c r="E464" s="78"/>
      <c r="F464" s="78"/>
    </row>
    <row r="465" spans="2:6" ht="12.6" customHeight="1" x14ac:dyDescent="0.3">
      <c r="B465" s="78"/>
      <c r="C465" s="78"/>
      <c r="D465" s="78"/>
      <c r="E465" s="78"/>
      <c r="F465" s="78"/>
    </row>
    <row r="466" spans="2:6" ht="12.6" customHeight="1" x14ac:dyDescent="0.3">
      <c r="B466" s="78"/>
      <c r="C466" s="78"/>
      <c r="D466" s="78"/>
      <c r="E466" s="78"/>
      <c r="F466" s="78"/>
    </row>
    <row r="467" spans="2:6" ht="12.6" customHeight="1" x14ac:dyDescent="0.3">
      <c r="B467" s="78"/>
      <c r="C467" s="78"/>
      <c r="D467" s="78"/>
      <c r="E467" s="78"/>
      <c r="F467" s="78"/>
    </row>
    <row r="468" spans="2:6" ht="12.6" customHeight="1" x14ac:dyDescent="0.3">
      <c r="B468" s="78"/>
      <c r="C468" s="78"/>
      <c r="D468" s="78"/>
      <c r="E468" s="78"/>
      <c r="F468" s="78"/>
    </row>
    <row r="469" spans="2:6" ht="12.6" customHeight="1" x14ac:dyDescent="0.3">
      <c r="B469" s="78"/>
      <c r="C469" s="78"/>
      <c r="D469" s="78"/>
      <c r="E469" s="78"/>
      <c r="F469" s="78"/>
    </row>
    <row r="470" spans="2:6" ht="12.6" customHeight="1" x14ac:dyDescent="0.3">
      <c r="B470" s="78"/>
      <c r="C470" s="78"/>
      <c r="D470" s="78"/>
      <c r="E470" s="78"/>
      <c r="F470" s="78"/>
    </row>
    <row r="471" spans="2:6" ht="12.6" customHeight="1" x14ac:dyDescent="0.3">
      <c r="B471" s="78"/>
      <c r="C471" s="78"/>
      <c r="D471" s="78"/>
      <c r="E471" s="78"/>
      <c r="F471" s="78"/>
    </row>
    <row r="472" spans="2:6" ht="12.6" customHeight="1" x14ac:dyDescent="0.3">
      <c r="B472" s="78"/>
      <c r="C472" s="78"/>
      <c r="D472" s="78"/>
      <c r="E472" s="78"/>
      <c r="F472" s="78"/>
    </row>
    <row r="473" spans="2:6" ht="12.6" customHeight="1" x14ac:dyDescent="0.3">
      <c r="B473" s="78"/>
      <c r="C473" s="78"/>
      <c r="D473" s="78"/>
      <c r="E473" s="78"/>
      <c r="F473" s="78"/>
    </row>
    <row r="474" spans="2:6" ht="12.6" customHeight="1" x14ac:dyDescent="0.3">
      <c r="B474" s="78"/>
      <c r="C474" s="78"/>
      <c r="D474" s="78"/>
      <c r="E474" s="78"/>
      <c r="F474" s="78"/>
    </row>
    <row r="475" spans="2:6" ht="12.6" customHeight="1" x14ac:dyDescent="0.3">
      <c r="B475" s="78"/>
      <c r="C475" s="78"/>
      <c r="D475" s="78"/>
      <c r="E475" s="78"/>
      <c r="F475" s="78"/>
    </row>
    <row r="476" spans="2:6" ht="12.6" customHeight="1" x14ac:dyDescent="0.3">
      <c r="B476" s="78"/>
      <c r="C476" s="78"/>
      <c r="D476" s="78"/>
      <c r="E476" s="78"/>
      <c r="F476" s="78"/>
    </row>
    <row r="477" spans="2:6" ht="12.6" customHeight="1" x14ac:dyDescent="0.3">
      <c r="B477" s="78"/>
      <c r="C477" s="78"/>
      <c r="D477" s="78"/>
      <c r="E477" s="78"/>
      <c r="F477" s="78"/>
    </row>
    <row r="478" spans="2:6" ht="12.6" customHeight="1" x14ac:dyDescent="0.3">
      <c r="B478" s="78"/>
      <c r="C478" s="78"/>
      <c r="D478" s="78"/>
      <c r="E478" s="78"/>
      <c r="F478" s="78"/>
    </row>
    <row r="479" spans="2:6" ht="12.6" customHeight="1" x14ac:dyDescent="0.3">
      <c r="B479" s="78"/>
      <c r="C479" s="78"/>
      <c r="D479" s="78"/>
      <c r="E479" s="78"/>
      <c r="F479" s="78"/>
    </row>
    <row r="480" spans="2:6" ht="12.6" customHeight="1" x14ac:dyDescent="0.3">
      <c r="B480" s="78"/>
      <c r="C480" s="78"/>
      <c r="D480" s="78"/>
      <c r="E480" s="78"/>
      <c r="F480" s="78"/>
    </row>
    <row r="481" spans="2:6" ht="12.6" customHeight="1" x14ac:dyDescent="0.3">
      <c r="B481" s="78"/>
      <c r="C481" s="78"/>
      <c r="D481" s="78"/>
      <c r="E481" s="78"/>
      <c r="F481" s="78"/>
    </row>
    <row r="482" spans="2:6" ht="12.6" customHeight="1" x14ac:dyDescent="0.3">
      <c r="B482" s="78"/>
      <c r="C482" s="78"/>
      <c r="D482" s="78"/>
      <c r="E482" s="78"/>
      <c r="F482" s="78"/>
    </row>
    <row r="483" spans="2:6" ht="12.6" customHeight="1" x14ac:dyDescent="0.3">
      <c r="B483" s="78"/>
      <c r="C483" s="78"/>
      <c r="D483" s="78"/>
      <c r="E483" s="78"/>
      <c r="F483" s="78"/>
    </row>
    <row r="484" spans="2:6" ht="12.6" customHeight="1" x14ac:dyDescent="0.3">
      <c r="B484" s="78"/>
      <c r="C484" s="78"/>
      <c r="D484" s="78"/>
      <c r="E484" s="78"/>
      <c r="F484" s="78"/>
    </row>
    <row r="485" spans="2:6" ht="12.6" customHeight="1" x14ac:dyDescent="0.3">
      <c r="B485" s="78"/>
      <c r="C485" s="78"/>
      <c r="D485" s="78"/>
      <c r="E485" s="78"/>
      <c r="F485" s="78"/>
    </row>
    <row r="486" spans="2:6" ht="12.6" customHeight="1" x14ac:dyDescent="0.3">
      <c r="B486" s="78"/>
      <c r="C486" s="78"/>
      <c r="D486" s="78"/>
      <c r="E486" s="78"/>
      <c r="F486" s="78"/>
    </row>
    <row r="487" spans="2:6" ht="12.6" customHeight="1" x14ac:dyDescent="0.3">
      <c r="B487" s="78"/>
      <c r="C487" s="78"/>
      <c r="D487" s="78"/>
      <c r="E487" s="78"/>
      <c r="F487" s="78"/>
    </row>
    <row r="488" spans="2:6" ht="12.6" customHeight="1" x14ac:dyDescent="0.3">
      <c r="B488" s="78"/>
      <c r="C488" s="78"/>
      <c r="D488" s="78"/>
      <c r="E488" s="78"/>
      <c r="F488" s="78"/>
    </row>
    <row r="489" spans="2:6" ht="12.6" customHeight="1" x14ac:dyDescent="0.3">
      <c r="B489" s="78"/>
      <c r="C489" s="78"/>
      <c r="D489" s="78"/>
      <c r="E489" s="78"/>
      <c r="F489" s="78"/>
    </row>
    <row r="490" spans="2:6" ht="12.6" customHeight="1" x14ac:dyDescent="0.3">
      <c r="B490" s="78"/>
      <c r="C490" s="78"/>
      <c r="D490" s="78"/>
      <c r="E490" s="78"/>
      <c r="F490" s="78"/>
    </row>
    <row r="491" spans="2:6" ht="12.6" customHeight="1" x14ac:dyDescent="0.3">
      <c r="B491" s="78"/>
      <c r="C491" s="78"/>
      <c r="D491" s="78"/>
      <c r="E491" s="78"/>
      <c r="F491" s="78"/>
    </row>
    <row r="492" spans="2:6" ht="12.6" customHeight="1" x14ac:dyDescent="0.3">
      <c r="B492" s="78"/>
      <c r="C492" s="78"/>
      <c r="D492" s="78"/>
      <c r="E492" s="78"/>
      <c r="F492" s="78"/>
    </row>
    <row r="493" spans="2:6" ht="12.6" customHeight="1" x14ac:dyDescent="0.3">
      <c r="B493" s="78"/>
      <c r="C493" s="78"/>
      <c r="D493" s="78"/>
      <c r="E493" s="78"/>
      <c r="F493" s="78"/>
    </row>
    <row r="494" spans="2:6" ht="12.6" customHeight="1" x14ac:dyDescent="0.3">
      <c r="B494" s="78"/>
      <c r="C494" s="78"/>
      <c r="D494" s="78"/>
      <c r="E494" s="78"/>
      <c r="F494" s="78"/>
    </row>
    <row r="495" spans="2:6" ht="12.6" customHeight="1" x14ac:dyDescent="0.3">
      <c r="B495" s="78"/>
      <c r="C495" s="78"/>
      <c r="D495" s="78"/>
      <c r="E495" s="78"/>
      <c r="F495" s="78"/>
    </row>
    <row r="496" spans="2:6" ht="12.6" customHeight="1" x14ac:dyDescent="0.3">
      <c r="B496" s="78"/>
      <c r="C496" s="78"/>
      <c r="D496" s="78"/>
      <c r="E496" s="78"/>
      <c r="F496" s="78"/>
    </row>
    <row r="497" spans="2:6" ht="12.6" customHeight="1" x14ac:dyDescent="0.3">
      <c r="B497" s="78"/>
      <c r="C497" s="78"/>
      <c r="D497" s="78"/>
      <c r="E497" s="78"/>
      <c r="F497" s="78"/>
    </row>
    <row r="498" spans="2:6" ht="12.6" customHeight="1" x14ac:dyDescent="0.3">
      <c r="B498" s="78"/>
      <c r="C498" s="78"/>
      <c r="D498" s="78"/>
      <c r="E498" s="78"/>
      <c r="F498" s="78"/>
    </row>
    <row r="499" spans="2:6" ht="12.6" customHeight="1" x14ac:dyDescent="0.3">
      <c r="B499" s="78"/>
      <c r="C499" s="78"/>
      <c r="D499" s="78"/>
      <c r="E499" s="78"/>
      <c r="F499" s="78"/>
    </row>
    <row r="500" spans="2:6" ht="12.6" customHeight="1" x14ac:dyDescent="0.3">
      <c r="B500" s="78"/>
      <c r="C500" s="78"/>
      <c r="D500" s="78"/>
      <c r="E500" s="78"/>
      <c r="F500" s="78"/>
    </row>
    <row r="501" spans="2:6" ht="12.6" customHeight="1" x14ac:dyDescent="0.3">
      <c r="B501" s="78"/>
      <c r="C501" s="78"/>
      <c r="D501" s="78"/>
      <c r="E501" s="78"/>
      <c r="F501" s="78"/>
    </row>
    <row r="502" spans="2:6" ht="12.6" customHeight="1" x14ac:dyDescent="0.3">
      <c r="B502" s="78"/>
      <c r="C502" s="78"/>
      <c r="D502" s="78"/>
      <c r="E502" s="78"/>
      <c r="F502" s="78"/>
    </row>
    <row r="503" spans="2:6" ht="12.6" customHeight="1" x14ac:dyDescent="0.3">
      <c r="B503" s="78"/>
      <c r="C503" s="78"/>
      <c r="D503" s="78"/>
      <c r="E503" s="78"/>
      <c r="F503" s="78"/>
    </row>
    <row r="504" spans="2:6" ht="12.6" customHeight="1" x14ac:dyDescent="0.3">
      <c r="B504" s="78"/>
      <c r="C504" s="78"/>
      <c r="D504" s="78"/>
      <c r="E504" s="78"/>
      <c r="F504" s="78"/>
    </row>
    <row r="505" spans="2:6" ht="12.6" customHeight="1" x14ac:dyDescent="0.3">
      <c r="B505" s="78"/>
      <c r="C505" s="78"/>
      <c r="D505" s="78"/>
      <c r="E505" s="78"/>
      <c r="F505" s="78"/>
    </row>
    <row r="506" spans="2:6" ht="12.6" customHeight="1" x14ac:dyDescent="0.3">
      <c r="B506" s="78"/>
      <c r="C506" s="78"/>
      <c r="D506" s="78"/>
      <c r="E506" s="78"/>
      <c r="F506" s="78"/>
    </row>
    <row r="507" spans="2:6" ht="12.6" customHeight="1" x14ac:dyDescent="0.3">
      <c r="B507" s="78"/>
      <c r="C507" s="78"/>
      <c r="D507" s="78"/>
      <c r="E507" s="78"/>
      <c r="F507" s="78"/>
    </row>
    <row r="508" spans="2:6" ht="12.6" customHeight="1" x14ac:dyDescent="0.3">
      <c r="B508" s="78"/>
      <c r="C508" s="78"/>
      <c r="D508" s="78"/>
      <c r="E508" s="78"/>
      <c r="F508" s="78"/>
    </row>
    <row r="509" spans="2:6" ht="12.6" customHeight="1" x14ac:dyDescent="0.3">
      <c r="B509" s="78"/>
      <c r="C509" s="78"/>
      <c r="D509" s="78"/>
      <c r="E509" s="78"/>
      <c r="F509" s="78"/>
    </row>
    <row r="510" spans="2:6" ht="12.6" customHeight="1" x14ac:dyDescent="0.3">
      <c r="B510" s="78"/>
      <c r="C510" s="78"/>
      <c r="D510" s="78"/>
      <c r="E510" s="78"/>
      <c r="F510" s="78"/>
    </row>
    <row r="511" spans="2:6" ht="12.6" customHeight="1" x14ac:dyDescent="0.3">
      <c r="B511" s="78"/>
      <c r="C511" s="78"/>
      <c r="D511" s="78"/>
      <c r="E511" s="78"/>
      <c r="F511" s="78"/>
    </row>
    <row r="512" spans="2:6" ht="12.6" customHeight="1" x14ac:dyDescent="0.3">
      <c r="B512" s="78"/>
      <c r="C512" s="78"/>
      <c r="D512" s="78"/>
      <c r="E512" s="78"/>
      <c r="F512" s="78"/>
    </row>
    <row r="513" spans="2:6" ht="12.6" customHeight="1" x14ac:dyDescent="0.3">
      <c r="B513" s="78"/>
      <c r="C513" s="78"/>
      <c r="D513" s="78"/>
      <c r="E513" s="78"/>
      <c r="F513" s="78"/>
    </row>
    <row r="514" spans="2:6" ht="12.6" customHeight="1" x14ac:dyDescent="0.3">
      <c r="B514" s="78"/>
      <c r="C514" s="78"/>
      <c r="D514" s="78"/>
      <c r="E514" s="78"/>
      <c r="F514" s="78"/>
    </row>
    <row r="515" spans="2:6" ht="12.6" customHeight="1" x14ac:dyDescent="0.3">
      <c r="B515" s="78"/>
      <c r="C515" s="78"/>
      <c r="D515" s="78"/>
      <c r="E515" s="78"/>
      <c r="F515" s="78"/>
    </row>
    <row r="516" spans="2:6" ht="12.6" customHeight="1" x14ac:dyDescent="0.3">
      <c r="B516" s="78"/>
      <c r="C516" s="78"/>
      <c r="D516" s="78"/>
      <c r="E516" s="78"/>
      <c r="F516" s="78"/>
    </row>
    <row r="517" spans="2:6" ht="12.6" customHeight="1" x14ac:dyDescent="0.3">
      <c r="B517" s="78"/>
      <c r="C517" s="78"/>
      <c r="D517" s="78"/>
      <c r="E517" s="78"/>
      <c r="F517" s="78"/>
    </row>
    <row r="518" spans="2:6" ht="12.6" customHeight="1" x14ac:dyDescent="0.3">
      <c r="B518" s="78"/>
      <c r="C518" s="78"/>
      <c r="D518" s="78"/>
      <c r="E518" s="78"/>
      <c r="F518" s="78"/>
    </row>
    <row r="519" spans="2:6" ht="12.6" customHeight="1" x14ac:dyDescent="0.3">
      <c r="B519" s="78"/>
      <c r="C519" s="78"/>
      <c r="D519" s="78"/>
      <c r="E519" s="78"/>
      <c r="F519" s="78"/>
    </row>
    <row r="520" spans="2:6" ht="12.6" customHeight="1" x14ac:dyDescent="0.3">
      <c r="B520" s="78"/>
      <c r="C520" s="78"/>
      <c r="D520" s="78"/>
      <c r="E520" s="78"/>
      <c r="F520" s="78"/>
    </row>
    <row r="521" spans="2:6" ht="12.6" customHeight="1" x14ac:dyDescent="0.3">
      <c r="B521" s="78"/>
      <c r="C521" s="78"/>
      <c r="D521" s="78"/>
      <c r="E521" s="78"/>
      <c r="F521" s="78"/>
    </row>
    <row r="522" spans="2:6" ht="12.6" customHeight="1" x14ac:dyDescent="0.3">
      <c r="B522" s="78"/>
      <c r="C522" s="78"/>
      <c r="D522" s="78"/>
      <c r="E522" s="78"/>
      <c r="F522" s="78"/>
    </row>
    <row r="523" spans="2:6" ht="12.6" customHeight="1" x14ac:dyDescent="0.3">
      <c r="B523" s="78"/>
      <c r="C523" s="78"/>
      <c r="D523" s="78"/>
      <c r="E523" s="78"/>
      <c r="F523" s="78"/>
    </row>
    <row r="524" spans="2:6" ht="12.6" customHeight="1" x14ac:dyDescent="0.3">
      <c r="B524" s="78"/>
      <c r="C524" s="78"/>
      <c r="D524" s="78"/>
      <c r="E524" s="78"/>
      <c r="F524" s="78"/>
    </row>
    <row r="525" spans="2:6" ht="12.6" customHeight="1" x14ac:dyDescent="0.3">
      <c r="B525" s="78"/>
      <c r="C525" s="78"/>
      <c r="D525" s="78"/>
      <c r="E525" s="78"/>
      <c r="F525" s="78"/>
    </row>
    <row r="526" spans="2:6" ht="12.6" customHeight="1" x14ac:dyDescent="0.3">
      <c r="B526" s="78"/>
      <c r="C526" s="78"/>
      <c r="D526" s="78"/>
      <c r="E526" s="78"/>
      <c r="F526" s="78"/>
    </row>
    <row r="527" spans="2:6" ht="12.6" customHeight="1" x14ac:dyDescent="0.3">
      <c r="B527" s="78"/>
      <c r="C527" s="78"/>
      <c r="D527" s="78"/>
      <c r="E527" s="78"/>
      <c r="F527" s="78"/>
    </row>
    <row r="528" spans="2:6" ht="12.6" customHeight="1" x14ac:dyDescent="0.3">
      <c r="B528" s="78"/>
      <c r="C528" s="78"/>
      <c r="D528" s="78"/>
      <c r="E528" s="78"/>
      <c r="F528" s="78"/>
    </row>
    <row r="529" spans="2:6" ht="12.6" customHeight="1" x14ac:dyDescent="0.3">
      <c r="B529" s="78"/>
      <c r="C529" s="78"/>
      <c r="D529" s="78"/>
      <c r="E529" s="78"/>
      <c r="F529" s="78"/>
    </row>
    <row r="530" spans="2:6" ht="12.6" customHeight="1" x14ac:dyDescent="0.3">
      <c r="B530" s="78"/>
      <c r="C530" s="78"/>
      <c r="D530" s="78"/>
      <c r="E530" s="78"/>
      <c r="F530" s="78"/>
    </row>
    <row r="531" spans="2:6" ht="12.6" customHeight="1" x14ac:dyDescent="0.3">
      <c r="B531" s="78"/>
      <c r="C531" s="78"/>
      <c r="D531" s="78"/>
      <c r="E531" s="78"/>
      <c r="F531" s="78"/>
    </row>
    <row r="532" spans="2:6" ht="12.6" customHeight="1" x14ac:dyDescent="0.3">
      <c r="B532" s="78"/>
      <c r="C532" s="78"/>
      <c r="D532" s="78"/>
      <c r="E532" s="78"/>
      <c r="F532" s="78"/>
    </row>
    <row r="533" spans="2:6" ht="12.6" customHeight="1" x14ac:dyDescent="0.3">
      <c r="B533" s="78"/>
      <c r="C533" s="78"/>
      <c r="D533" s="78"/>
      <c r="E533" s="78"/>
      <c r="F533" s="78"/>
    </row>
    <row r="534" spans="2:6" ht="12.6" customHeight="1" x14ac:dyDescent="0.3">
      <c r="B534" s="78"/>
      <c r="C534" s="78"/>
      <c r="D534" s="78"/>
      <c r="E534" s="78"/>
      <c r="F534" s="78"/>
    </row>
    <row r="535" spans="2:6" ht="12.6" customHeight="1" x14ac:dyDescent="0.3">
      <c r="B535" s="78"/>
      <c r="C535" s="78"/>
      <c r="D535" s="78"/>
      <c r="E535" s="78"/>
      <c r="F535" s="78"/>
    </row>
    <row r="536" spans="2:6" ht="12.6" customHeight="1" x14ac:dyDescent="0.3">
      <c r="B536" s="78"/>
      <c r="C536" s="78"/>
      <c r="D536" s="78"/>
      <c r="E536" s="78"/>
      <c r="F536" s="78"/>
    </row>
    <row r="537" spans="2:6" ht="12.6" customHeight="1" x14ac:dyDescent="0.3">
      <c r="B537" s="78"/>
      <c r="C537" s="78"/>
      <c r="D537" s="78"/>
      <c r="E537" s="78"/>
      <c r="F537" s="78"/>
    </row>
    <row r="538" spans="2:6" ht="12.6" customHeight="1" x14ac:dyDescent="0.3">
      <c r="B538" s="78"/>
      <c r="C538" s="78"/>
      <c r="D538" s="78"/>
      <c r="E538" s="78"/>
      <c r="F538" s="78"/>
    </row>
    <row r="539" spans="2:6" ht="12.6" customHeight="1" x14ac:dyDescent="0.3">
      <c r="B539" s="78"/>
      <c r="C539" s="78"/>
      <c r="D539" s="78"/>
      <c r="E539" s="78"/>
      <c r="F539" s="78"/>
    </row>
    <row r="540" spans="2:6" ht="12.6" customHeight="1" x14ac:dyDescent="0.3">
      <c r="B540" s="78"/>
      <c r="C540" s="78"/>
      <c r="D540" s="78"/>
      <c r="E540" s="78"/>
      <c r="F540" s="78"/>
    </row>
    <row r="541" spans="2:6" ht="12.6" customHeight="1" x14ac:dyDescent="0.3">
      <c r="B541" s="78"/>
      <c r="C541" s="78"/>
      <c r="D541" s="78"/>
      <c r="E541" s="78"/>
      <c r="F541" s="78"/>
    </row>
    <row r="542" spans="2:6" ht="12.6" customHeight="1" x14ac:dyDescent="0.3">
      <c r="B542" s="78"/>
      <c r="C542" s="78"/>
      <c r="D542" s="78"/>
      <c r="E542" s="78"/>
      <c r="F542" s="78"/>
    </row>
    <row r="543" spans="2:6" ht="12.6" customHeight="1" x14ac:dyDescent="0.3">
      <c r="B543" s="78"/>
      <c r="C543" s="78"/>
      <c r="D543" s="78"/>
      <c r="E543" s="78"/>
      <c r="F543" s="78"/>
    </row>
    <row r="544" spans="2:6" ht="12.6" customHeight="1" x14ac:dyDescent="0.3">
      <c r="B544" s="78"/>
      <c r="C544" s="78"/>
      <c r="D544" s="78"/>
      <c r="E544" s="78"/>
      <c r="F544" s="78"/>
    </row>
    <row r="545" spans="2:6" ht="12.6" customHeight="1" x14ac:dyDescent="0.3">
      <c r="B545" s="78"/>
      <c r="C545" s="78"/>
      <c r="D545" s="78"/>
      <c r="E545" s="78"/>
      <c r="F545" s="78"/>
    </row>
    <row r="546" spans="2:6" ht="12.6" customHeight="1" x14ac:dyDescent="0.3">
      <c r="B546" s="78"/>
      <c r="C546" s="78"/>
      <c r="D546" s="78"/>
      <c r="E546" s="78"/>
      <c r="F546" s="78"/>
    </row>
    <row r="547" spans="2:6" ht="12.6" customHeight="1" x14ac:dyDescent="0.3">
      <c r="B547" s="78"/>
      <c r="C547" s="78"/>
      <c r="D547" s="78"/>
      <c r="E547" s="78"/>
      <c r="F547" s="78"/>
    </row>
    <row r="548" spans="2:6" ht="12.6" customHeight="1" x14ac:dyDescent="0.3">
      <c r="B548" s="78"/>
      <c r="C548" s="78"/>
      <c r="D548" s="78"/>
      <c r="E548" s="78"/>
      <c r="F548" s="78"/>
    </row>
    <row r="549" spans="2:6" ht="12.6" customHeight="1" x14ac:dyDescent="0.3">
      <c r="B549" s="78"/>
      <c r="C549" s="78"/>
      <c r="D549" s="78"/>
      <c r="E549" s="78"/>
      <c r="F549" s="78"/>
    </row>
    <row r="550" spans="2:6" ht="12.6" customHeight="1" x14ac:dyDescent="0.3">
      <c r="B550" s="78"/>
      <c r="C550" s="78"/>
      <c r="D550" s="78"/>
      <c r="E550" s="78"/>
      <c r="F550" s="78"/>
    </row>
    <row r="551" spans="2:6" ht="12.6" customHeight="1" x14ac:dyDescent="0.3">
      <c r="B551" s="78"/>
      <c r="C551" s="78"/>
      <c r="D551" s="78"/>
      <c r="E551" s="78"/>
      <c r="F551" s="78"/>
    </row>
    <row r="552" spans="2:6" ht="12.6" customHeight="1" x14ac:dyDescent="0.3">
      <c r="B552" s="78"/>
      <c r="C552" s="78"/>
      <c r="D552" s="78"/>
      <c r="E552" s="78"/>
      <c r="F552" s="78"/>
    </row>
    <row r="553" spans="2:6" ht="12.6" customHeight="1" x14ac:dyDescent="0.3">
      <c r="B553" s="78"/>
      <c r="C553" s="78"/>
      <c r="D553" s="78"/>
      <c r="E553" s="78"/>
      <c r="F553" s="78"/>
    </row>
    <row r="554" spans="2:6" ht="12.6" customHeight="1" x14ac:dyDescent="0.3">
      <c r="B554" s="78"/>
      <c r="C554" s="78"/>
      <c r="D554" s="78"/>
      <c r="E554" s="78"/>
      <c r="F554" s="78"/>
    </row>
    <row r="555" spans="2:6" ht="12.6" customHeight="1" x14ac:dyDescent="0.3">
      <c r="B555" s="78"/>
      <c r="C555" s="78"/>
      <c r="D555" s="78"/>
      <c r="E555" s="78"/>
      <c r="F555" s="78"/>
    </row>
    <row r="556" spans="2:6" ht="12.6" customHeight="1" x14ac:dyDescent="0.3">
      <c r="B556" s="78"/>
      <c r="C556" s="78"/>
      <c r="D556" s="78"/>
      <c r="E556" s="78"/>
      <c r="F556" s="78"/>
    </row>
    <row r="557" spans="2:6" ht="12.6" customHeight="1" x14ac:dyDescent="0.3">
      <c r="B557" s="78"/>
      <c r="C557" s="78"/>
      <c r="D557" s="78"/>
      <c r="E557" s="78"/>
      <c r="F557" s="78"/>
    </row>
    <row r="558" spans="2:6" ht="12.6" customHeight="1" x14ac:dyDescent="0.3">
      <c r="B558" s="78"/>
      <c r="C558" s="78"/>
      <c r="D558" s="78"/>
      <c r="E558" s="78"/>
      <c r="F558" s="78"/>
    </row>
    <row r="559" spans="2:6" ht="12.6" customHeight="1" x14ac:dyDescent="0.3">
      <c r="B559" s="78"/>
      <c r="C559" s="78"/>
      <c r="D559" s="78"/>
      <c r="E559" s="78"/>
      <c r="F559" s="78"/>
    </row>
    <row r="560" spans="2:6" ht="12.6" customHeight="1" x14ac:dyDescent="0.3">
      <c r="B560" s="78"/>
      <c r="C560" s="78"/>
      <c r="D560" s="78"/>
      <c r="E560" s="78"/>
      <c r="F560" s="78"/>
    </row>
    <row r="561" spans="2:6" ht="12.6" customHeight="1" x14ac:dyDescent="0.3">
      <c r="B561" s="78"/>
      <c r="C561" s="78"/>
      <c r="D561" s="78"/>
      <c r="E561" s="78"/>
      <c r="F561" s="78"/>
    </row>
    <row r="562" spans="2:6" ht="12.6" customHeight="1" x14ac:dyDescent="0.3">
      <c r="B562" s="78"/>
      <c r="C562" s="78"/>
      <c r="D562" s="78"/>
      <c r="E562" s="78"/>
      <c r="F562" s="78"/>
    </row>
    <row r="563" spans="2:6" ht="12.6" customHeight="1" x14ac:dyDescent="0.3">
      <c r="B563" s="78"/>
      <c r="C563" s="78"/>
      <c r="D563" s="78"/>
      <c r="E563" s="78"/>
      <c r="F563" s="78"/>
    </row>
    <row r="564" spans="2:6" ht="12.6" customHeight="1" x14ac:dyDescent="0.3">
      <c r="B564" s="78"/>
      <c r="C564" s="78"/>
      <c r="D564" s="78"/>
      <c r="E564" s="78"/>
      <c r="F564" s="78"/>
    </row>
    <row r="565" spans="2:6" ht="12.6" customHeight="1" x14ac:dyDescent="0.3">
      <c r="B565" s="78"/>
      <c r="C565" s="78"/>
      <c r="D565" s="78"/>
      <c r="E565" s="78"/>
      <c r="F565" s="78"/>
    </row>
    <row r="566" spans="2:6" ht="12.6" customHeight="1" x14ac:dyDescent="0.3">
      <c r="B566" s="78"/>
      <c r="C566" s="78"/>
      <c r="D566" s="78"/>
      <c r="E566" s="78"/>
      <c r="F566" s="78"/>
    </row>
    <row r="567" spans="2:6" ht="12.6" customHeight="1" x14ac:dyDescent="0.3">
      <c r="B567" s="78"/>
      <c r="C567" s="78"/>
      <c r="D567" s="78"/>
      <c r="E567" s="78"/>
      <c r="F567" s="78"/>
    </row>
    <row r="568" spans="2:6" ht="12.6" customHeight="1" x14ac:dyDescent="0.3">
      <c r="B568" s="78"/>
      <c r="C568" s="78"/>
      <c r="D568" s="78"/>
      <c r="E568" s="78"/>
      <c r="F568" s="78"/>
    </row>
    <row r="569" spans="2:6" ht="12.6" customHeight="1" x14ac:dyDescent="0.3">
      <c r="B569" s="78"/>
      <c r="C569" s="78"/>
      <c r="D569" s="78"/>
      <c r="E569" s="78"/>
      <c r="F569" s="78"/>
    </row>
    <row r="570" spans="2:6" ht="12.6" customHeight="1" x14ac:dyDescent="0.3">
      <c r="B570" s="78"/>
      <c r="C570" s="78"/>
      <c r="D570" s="78"/>
      <c r="E570" s="78"/>
      <c r="F570" s="78"/>
    </row>
    <row r="571" spans="2:6" ht="12.6" customHeight="1" x14ac:dyDescent="0.3">
      <c r="B571" s="78"/>
      <c r="C571" s="78"/>
      <c r="D571" s="78"/>
      <c r="E571" s="78"/>
      <c r="F571" s="78"/>
    </row>
    <row r="572" spans="2:6" ht="12.6" customHeight="1" x14ac:dyDescent="0.3">
      <c r="B572" s="78"/>
      <c r="C572" s="78"/>
      <c r="D572" s="78"/>
      <c r="E572" s="78"/>
      <c r="F572" s="78"/>
    </row>
    <row r="573" spans="2:6" ht="12.6" customHeight="1" x14ac:dyDescent="0.3">
      <c r="B573" s="78"/>
      <c r="C573" s="78"/>
      <c r="D573" s="78"/>
      <c r="E573" s="78"/>
      <c r="F573" s="78"/>
    </row>
    <row r="574" spans="2:6" ht="12.6" customHeight="1" x14ac:dyDescent="0.3">
      <c r="B574" s="78"/>
      <c r="C574" s="78"/>
      <c r="D574" s="78"/>
      <c r="E574" s="78"/>
      <c r="F574" s="78"/>
    </row>
    <row r="575" spans="2:6" ht="12.6" customHeight="1" x14ac:dyDescent="0.3">
      <c r="B575" s="78"/>
      <c r="C575" s="78"/>
      <c r="D575" s="78"/>
      <c r="E575" s="78"/>
      <c r="F575" s="78"/>
    </row>
    <row r="576" spans="2:6" ht="12.6" customHeight="1" x14ac:dyDescent="0.3">
      <c r="B576" s="78"/>
      <c r="C576" s="78"/>
      <c r="D576" s="78"/>
      <c r="E576" s="78"/>
      <c r="F576" s="78"/>
    </row>
    <row r="577" spans="2:6" ht="12.6" customHeight="1" x14ac:dyDescent="0.3">
      <c r="B577" s="78"/>
      <c r="C577" s="78"/>
      <c r="D577" s="78"/>
      <c r="E577" s="78"/>
      <c r="F577" s="78"/>
    </row>
    <row r="578" spans="2:6" ht="12.6" customHeight="1" x14ac:dyDescent="0.3">
      <c r="B578" s="78"/>
      <c r="C578" s="78"/>
      <c r="D578" s="78"/>
      <c r="E578" s="78"/>
      <c r="F578" s="78"/>
    </row>
    <row r="579" spans="2:6" ht="12.6" customHeight="1" x14ac:dyDescent="0.3">
      <c r="B579" s="78"/>
      <c r="C579" s="78"/>
      <c r="D579" s="78"/>
      <c r="E579" s="78"/>
      <c r="F579" s="78"/>
    </row>
    <row r="580" spans="2:6" ht="12.6" customHeight="1" x14ac:dyDescent="0.3">
      <c r="B580" s="78"/>
      <c r="C580" s="78"/>
      <c r="D580" s="78"/>
      <c r="E580" s="78"/>
      <c r="F580" s="78"/>
    </row>
    <row r="581" spans="2:6" ht="12.6" customHeight="1" x14ac:dyDescent="0.3">
      <c r="B581" s="78"/>
      <c r="C581" s="78"/>
      <c r="D581" s="78"/>
      <c r="E581" s="78"/>
      <c r="F581" s="78"/>
    </row>
    <row r="582" spans="2:6" ht="12.6" customHeight="1" x14ac:dyDescent="0.3">
      <c r="B582" s="78"/>
      <c r="C582" s="78"/>
      <c r="D582" s="78"/>
      <c r="E582" s="78"/>
      <c r="F582" s="78"/>
    </row>
    <row r="583" spans="2:6" ht="12.6" customHeight="1" x14ac:dyDescent="0.3">
      <c r="B583" s="78"/>
      <c r="C583" s="78"/>
      <c r="D583" s="78"/>
      <c r="E583" s="78"/>
      <c r="F583" s="78"/>
    </row>
    <row r="584" spans="2:6" ht="12.6" customHeight="1" x14ac:dyDescent="0.3">
      <c r="B584" s="78"/>
      <c r="C584" s="78"/>
      <c r="D584" s="78"/>
      <c r="E584" s="78"/>
      <c r="F584" s="78"/>
    </row>
    <row r="585" spans="2:6" ht="12.6" customHeight="1" x14ac:dyDescent="0.3">
      <c r="B585" s="78"/>
      <c r="C585" s="78"/>
      <c r="D585" s="78"/>
      <c r="E585" s="78"/>
      <c r="F585" s="78"/>
    </row>
    <row r="586" spans="2:6" ht="12.6" customHeight="1" x14ac:dyDescent="0.3">
      <c r="B586" s="78"/>
      <c r="C586" s="78"/>
      <c r="D586" s="78"/>
      <c r="E586" s="78"/>
      <c r="F586" s="78"/>
    </row>
    <row r="587" spans="2:6" ht="12.6" customHeight="1" x14ac:dyDescent="0.3">
      <c r="B587" s="78"/>
      <c r="C587" s="78"/>
      <c r="D587" s="78"/>
      <c r="E587" s="78"/>
      <c r="F587" s="78"/>
    </row>
    <row r="588" spans="2:6" ht="12.6" customHeight="1" x14ac:dyDescent="0.3">
      <c r="B588" s="78"/>
      <c r="C588" s="78"/>
      <c r="D588" s="78"/>
      <c r="E588" s="78"/>
      <c r="F588" s="78"/>
    </row>
    <row r="589" spans="2:6" ht="12.6" customHeight="1" x14ac:dyDescent="0.3">
      <c r="B589" s="78"/>
      <c r="C589" s="78"/>
      <c r="D589" s="78"/>
      <c r="E589" s="78"/>
      <c r="F589" s="78"/>
    </row>
    <row r="590" spans="2:6" ht="12.6" customHeight="1" x14ac:dyDescent="0.3">
      <c r="B590" s="78"/>
      <c r="C590" s="78"/>
      <c r="D590" s="78"/>
      <c r="E590" s="78"/>
      <c r="F590" s="78"/>
    </row>
    <row r="591" spans="2:6" ht="12.6" customHeight="1" x14ac:dyDescent="0.3">
      <c r="B591" s="78"/>
      <c r="C591" s="78"/>
      <c r="D591" s="78"/>
      <c r="E591" s="78"/>
      <c r="F591" s="78"/>
    </row>
    <row r="592" spans="2:6" ht="12.6" customHeight="1" x14ac:dyDescent="0.3">
      <c r="B592" s="78"/>
      <c r="C592" s="78"/>
      <c r="D592" s="78"/>
      <c r="E592" s="78"/>
      <c r="F592" s="78"/>
    </row>
    <row r="593" spans="2:6" ht="12.6" customHeight="1" x14ac:dyDescent="0.3">
      <c r="B593" s="78"/>
      <c r="C593" s="78"/>
      <c r="D593" s="78"/>
      <c r="E593" s="78"/>
      <c r="F593" s="78"/>
    </row>
    <row r="594" spans="2:6" ht="12.6" customHeight="1" x14ac:dyDescent="0.3">
      <c r="B594" s="78"/>
      <c r="C594" s="78"/>
      <c r="D594" s="78"/>
      <c r="E594" s="78"/>
      <c r="F594" s="78"/>
    </row>
    <row r="595" spans="2:6" ht="12.6" customHeight="1" x14ac:dyDescent="0.3">
      <c r="B595" s="78"/>
      <c r="C595" s="78"/>
      <c r="D595" s="78"/>
      <c r="E595" s="78"/>
      <c r="F595" s="78"/>
    </row>
    <row r="596" spans="2:6" ht="12.6" customHeight="1" x14ac:dyDescent="0.3">
      <c r="B596" s="78"/>
      <c r="C596" s="78"/>
      <c r="D596" s="78"/>
      <c r="E596" s="78"/>
      <c r="F596" s="78"/>
    </row>
    <row r="597" spans="2:6" ht="12.6" customHeight="1" x14ac:dyDescent="0.3">
      <c r="B597" s="78"/>
      <c r="C597" s="78"/>
      <c r="D597" s="78"/>
      <c r="E597" s="78"/>
      <c r="F597" s="78"/>
    </row>
    <row r="598" spans="2:6" ht="12.6" customHeight="1" x14ac:dyDescent="0.3">
      <c r="B598" s="78"/>
      <c r="C598" s="78"/>
      <c r="D598" s="78"/>
      <c r="E598" s="78"/>
      <c r="F598" s="78"/>
    </row>
    <row r="599" spans="2:6" ht="12.6" customHeight="1" x14ac:dyDescent="0.3">
      <c r="B599" s="78"/>
      <c r="C599" s="78"/>
      <c r="D599" s="78"/>
      <c r="E599" s="78"/>
      <c r="F599" s="78"/>
    </row>
    <row r="600" spans="2:6" ht="12.6" customHeight="1" x14ac:dyDescent="0.3">
      <c r="B600" s="78"/>
      <c r="C600" s="78"/>
      <c r="D600" s="78"/>
      <c r="E600" s="78"/>
      <c r="F600" s="78"/>
    </row>
    <row r="601" spans="2:6" ht="12.6" customHeight="1" x14ac:dyDescent="0.3">
      <c r="B601" s="78"/>
      <c r="C601" s="78"/>
      <c r="D601" s="78"/>
      <c r="E601" s="78"/>
      <c r="F601" s="78"/>
    </row>
    <row r="602" spans="2:6" ht="12.6" customHeight="1" x14ac:dyDescent="0.3">
      <c r="B602" s="78"/>
      <c r="C602" s="78"/>
      <c r="D602" s="78"/>
      <c r="E602" s="78"/>
      <c r="F602" s="78"/>
    </row>
    <row r="603" spans="2:6" ht="12.6" customHeight="1" x14ac:dyDescent="0.3">
      <c r="B603" s="78"/>
      <c r="C603" s="78"/>
      <c r="D603" s="78"/>
      <c r="E603" s="78"/>
      <c r="F603" s="78"/>
    </row>
    <row r="604" spans="2:6" ht="12.6" customHeight="1" x14ac:dyDescent="0.3">
      <c r="B604" s="78"/>
      <c r="C604" s="78"/>
      <c r="D604" s="78"/>
      <c r="E604" s="78"/>
      <c r="F604" s="78"/>
    </row>
    <row r="605" spans="2:6" ht="12.6" customHeight="1" x14ac:dyDescent="0.3">
      <c r="B605" s="78"/>
      <c r="C605" s="78"/>
      <c r="D605" s="78"/>
      <c r="E605" s="78"/>
      <c r="F605" s="78"/>
    </row>
    <row r="606" spans="2:6" ht="12.6" customHeight="1" x14ac:dyDescent="0.3">
      <c r="B606" s="78"/>
      <c r="C606" s="78"/>
      <c r="D606" s="78"/>
      <c r="E606" s="78"/>
      <c r="F606" s="78"/>
    </row>
    <row r="607" spans="2:6" ht="12.6" customHeight="1" x14ac:dyDescent="0.3">
      <c r="B607" s="78"/>
      <c r="C607" s="78"/>
      <c r="D607" s="78"/>
      <c r="E607" s="78"/>
      <c r="F607" s="78"/>
    </row>
    <row r="608" spans="2:6" ht="12.6" customHeight="1" x14ac:dyDescent="0.3">
      <c r="B608" s="78"/>
      <c r="C608" s="78"/>
      <c r="D608" s="78"/>
      <c r="E608" s="78"/>
      <c r="F608" s="78"/>
    </row>
    <row r="609" spans="2:6" ht="12.6" customHeight="1" x14ac:dyDescent="0.3">
      <c r="B609" s="78"/>
      <c r="C609" s="78"/>
      <c r="D609" s="78"/>
      <c r="E609" s="78"/>
      <c r="F609" s="78"/>
    </row>
    <row r="610" spans="2:6" ht="12.6" customHeight="1" x14ac:dyDescent="0.3">
      <c r="B610" s="78"/>
      <c r="C610" s="78"/>
      <c r="D610" s="78"/>
      <c r="E610" s="78"/>
      <c r="F610" s="78"/>
    </row>
    <row r="611" spans="2:6" ht="12.6" customHeight="1" x14ac:dyDescent="0.3">
      <c r="B611" s="78"/>
      <c r="C611" s="78"/>
      <c r="D611" s="78"/>
      <c r="E611" s="78"/>
      <c r="F611" s="78"/>
    </row>
    <row r="612" spans="2:6" ht="12.6" customHeight="1" x14ac:dyDescent="0.3">
      <c r="B612" s="78"/>
      <c r="C612" s="78"/>
      <c r="D612" s="78"/>
      <c r="E612" s="78"/>
      <c r="F612" s="78"/>
    </row>
    <row r="613" spans="2:6" ht="12.6" customHeight="1" x14ac:dyDescent="0.3">
      <c r="B613" s="78"/>
      <c r="C613" s="78"/>
      <c r="D613" s="78"/>
      <c r="E613" s="78"/>
      <c r="F613" s="78"/>
    </row>
    <row r="614" spans="2:6" ht="12.6" customHeight="1" x14ac:dyDescent="0.3">
      <c r="B614" s="78"/>
      <c r="C614" s="78"/>
      <c r="D614" s="78"/>
      <c r="E614" s="78"/>
      <c r="F614" s="78"/>
    </row>
    <row r="615" spans="2:6" ht="12.6" customHeight="1" x14ac:dyDescent="0.3">
      <c r="B615" s="78"/>
      <c r="C615" s="78"/>
      <c r="D615" s="78"/>
      <c r="E615" s="78"/>
      <c r="F615" s="78"/>
    </row>
    <row r="616" spans="2:6" ht="12.6" customHeight="1" x14ac:dyDescent="0.3">
      <c r="B616" s="78"/>
      <c r="C616" s="78"/>
      <c r="D616" s="78"/>
      <c r="E616" s="78"/>
      <c r="F616" s="78"/>
    </row>
    <row r="617" spans="2:6" ht="12.6" customHeight="1" x14ac:dyDescent="0.3">
      <c r="B617" s="78"/>
      <c r="C617" s="78"/>
      <c r="D617" s="78"/>
      <c r="E617" s="78"/>
      <c r="F617" s="78"/>
    </row>
    <row r="618" spans="2:6" ht="12.6" customHeight="1" x14ac:dyDescent="0.3">
      <c r="B618" s="78"/>
      <c r="C618" s="78"/>
      <c r="D618" s="78"/>
      <c r="E618" s="78"/>
      <c r="F618" s="78"/>
    </row>
    <row r="619" spans="2:6" ht="12.6" customHeight="1" x14ac:dyDescent="0.3">
      <c r="B619" s="78"/>
      <c r="C619" s="78"/>
      <c r="D619" s="78"/>
      <c r="E619" s="78"/>
      <c r="F619" s="78"/>
    </row>
    <row r="620" spans="2:6" ht="12.6" customHeight="1" x14ac:dyDescent="0.3">
      <c r="B620" s="78"/>
      <c r="C620" s="78"/>
      <c r="D620" s="78"/>
      <c r="E620" s="78"/>
      <c r="F620" s="78"/>
    </row>
    <row r="621" spans="2:6" ht="12.6" customHeight="1" x14ac:dyDescent="0.3">
      <c r="B621" s="78"/>
      <c r="C621" s="78"/>
      <c r="D621" s="78"/>
      <c r="E621" s="78"/>
      <c r="F621" s="78"/>
    </row>
    <row r="622" spans="2:6" ht="12.6" customHeight="1" x14ac:dyDescent="0.3">
      <c r="B622" s="78"/>
      <c r="C622" s="78"/>
      <c r="D622" s="78"/>
      <c r="E622" s="78"/>
      <c r="F622" s="78"/>
    </row>
    <row r="623" spans="2:6" ht="12.6" customHeight="1" x14ac:dyDescent="0.3">
      <c r="B623" s="78"/>
      <c r="C623" s="78"/>
      <c r="D623" s="78"/>
      <c r="E623" s="78"/>
      <c r="F623" s="78"/>
    </row>
    <row r="624" spans="2:6" ht="12.6" customHeight="1" x14ac:dyDescent="0.3">
      <c r="B624" s="78"/>
      <c r="C624" s="78"/>
      <c r="D624" s="78"/>
      <c r="E624" s="78"/>
      <c r="F624" s="78"/>
    </row>
    <row r="625" spans="2:6" ht="12.6" customHeight="1" x14ac:dyDescent="0.3">
      <c r="B625" s="78"/>
      <c r="C625" s="78"/>
      <c r="D625" s="78"/>
      <c r="E625" s="78"/>
      <c r="F625" s="78"/>
    </row>
    <row r="626" spans="2:6" ht="12.6" customHeight="1" x14ac:dyDescent="0.3">
      <c r="B626" s="78"/>
      <c r="C626" s="78"/>
      <c r="D626" s="78"/>
      <c r="E626" s="78"/>
      <c r="F626" s="78"/>
    </row>
    <row r="627" spans="2:6" ht="12.6" customHeight="1" x14ac:dyDescent="0.3">
      <c r="B627" s="78"/>
      <c r="C627" s="78"/>
      <c r="D627" s="78"/>
      <c r="E627" s="78"/>
      <c r="F627" s="78"/>
    </row>
    <row r="628" spans="2:6" ht="12.6" customHeight="1" x14ac:dyDescent="0.3">
      <c r="B628" s="78"/>
      <c r="C628" s="78"/>
      <c r="D628" s="78"/>
      <c r="E628" s="78"/>
      <c r="F628" s="78"/>
    </row>
    <row r="629" spans="2:6" ht="12.6" customHeight="1" x14ac:dyDescent="0.3">
      <c r="B629" s="78"/>
      <c r="C629" s="78"/>
      <c r="D629" s="78"/>
      <c r="E629" s="78"/>
      <c r="F629" s="78"/>
    </row>
    <row r="630" spans="2:6" ht="12.6" customHeight="1" x14ac:dyDescent="0.3">
      <c r="B630" s="78"/>
      <c r="C630" s="78"/>
      <c r="D630" s="78"/>
      <c r="E630" s="78"/>
      <c r="F630" s="78"/>
    </row>
    <row r="631" spans="2:6" ht="12.6" customHeight="1" x14ac:dyDescent="0.3">
      <c r="B631" s="78"/>
      <c r="C631" s="78"/>
      <c r="D631" s="78"/>
      <c r="E631" s="78"/>
      <c r="F631" s="78"/>
    </row>
    <row r="632" spans="2:6" ht="12.6" customHeight="1" x14ac:dyDescent="0.3">
      <c r="B632" s="78"/>
      <c r="C632" s="78"/>
      <c r="D632" s="78"/>
      <c r="E632" s="78"/>
      <c r="F632" s="78"/>
    </row>
    <row r="633" spans="2:6" ht="12.6" customHeight="1" x14ac:dyDescent="0.3">
      <c r="B633" s="78"/>
      <c r="C633" s="78"/>
      <c r="D633" s="78"/>
      <c r="E633" s="78"/>
      <c r="F633" s="78"/>
    </row>
    <row r="634" spans="2:6" ht="12.6" customHeight="1" x14ac:dyDescent="0.3">
      <c r="B634" s="78"/>
      <c r="C634" s="78"/>
      <c r="D634" s="78"/>
      <c r="E634" s="78"/>
      <c r="F634" s="78"/>
    </row>
    <row r="635" spans="2:6" ht="12.6" customHeight="1" x14ac:dyDescent="0.3">
      <c r="B635" s="78"/>
      <c r="C635" s="78"/>
      <c r="D635" s="78"/>
      <c r="E635" s="78"/>
      <c r="F635" s="78"/>
    </row>
    <row r="636" spans="2:6" ht="12.6" customHeight="1" x14ac:dyDescent="0.3">
      <c r="B636" s="78"/>
      <c r="C636" s="78"/>
      <c r="D636" s="78"/>
      <c r="E636" s="78"/>
      <c r="F636" s="78"/>
    </row>
    <row r="637" spans="2:6" ht="12.6" customHeight="1" x14ac:dyDescent="0.3">
      <c r="B637" s="78"/>
      <c r="C637" s="78"/>
      <c r="D637" s="78"/>
      <c r="E637" s="78"/>
      <c r="F637" s="78"/>
    </row>
    <row r="638" spans="2:6" ht="12.6" customHeight="1" x14ac:dyDescent="0.3">
      <c r="B638" s="78"/>
      <c r="C638" s="78"/>
      <c r="D638" s="78"/>
      <c r="E638" s="78"/>
      <c r="F638" s="78"/>
    </row>
    <row r="639" spans="2:6" ht="12.6" customHeight="1" x14ac:dyDescent="0.3">
      <c r="B639" s="78"/>
      <c r="C639" s="78"/>
      <c r="D639" s="78"/>
      <c r="E639" s="78"/>
      <c r="F639" s="78"/>
    </row>
    <row r="640" spans="2:6" ht="12.6" customHeight="1" x14ac:dyDescent="0.3">
      <c r="B640" s="78"/>
      <c r="C640" s="78"/>
      <c r="D640" s="78"/>
      <c r="E640" s="78"/>
      <c r="F640" s="78"/>
    </row>
    <row r="641" spans="2:6" ht="12.6" customHeight="1" x14ac:dyDescent="0.3">
      <c r="B641" s="78"/>
      <c r="C641" s="78"/>
      <c r="D641" s="78"/>
      <c r="E641" s="78"/>
      <c r="F641" s="78"/>
    </row>
    <row r="642" spans="2:6" ht="12.6" customHeight="1" x14ac:dyDescent="0.3">
      <c r="B642" s="78"/>
      <c r="C642" s="78"/>
      <c r="D642" s="78"/>
      <c r="E642" s="78"/>
      <c r="F642" s="78"/>
    </row>
    <row r="643" spans="2:6" ht="12.6" customHeight="1" x14ac:dyDescent="0.3">
      <c r="B643" s="78"/>
      <c r="C643" s="78"/>
      <c r="D643" s="78"/>
      <c r="E643" s="78"/>
      <c r="F643" s="78"/>
    </row>
    <row r="644" spans="2:6" ht="12.6" customHeight="1" x14ac:dyDescent="0.3">
      <c r="B644" s="78"/>
      <c r="C644" s="78"/>
      <c r="D644" s="78"/>
      <c r="E644" s="78"/>
      <c r="F644" s="78"/>
    </row>
    <row r="645" spans="2:6" ht="12.6" customHeight="1" x14ac:dyDescent="0.3">
      <c r="B645" s="78"/>
      <c r="C645" s="78"/>
      <c r="D645" s="78"/>
      <c r="E645" s="78"/>
      <c r="F645" s="78"/>
    </row>
    <row r="646" spans="2:6" ht="12.6" customHeight="1" x14ac:dyDescent="0.3">
      <c r="B646" s="78"/>
      <c r="C646" s="78"/>
      <c r="D646" s="78"/>
      <c r="E646" s="78"/>
      <c r="F646" s="78"/>
    </row>
    <row r="647" spans="2:6" ht="12.6" customHeight="1" x14ac:dyDescent="0.3">
      <c r="B647" s="78"/>
      <c r="C647" s="78"/>
      <c r="D647" s="78"/>
      <c r="E647" s="78"/>
      <c r="F647" s="78"/>
    </row>
    <row r="648" spans="2:6" ht="12.6" customHeight="1" x14ac:dyDescent="0.3">
      <c r="B648" s="78"/>
      <c r="C648" s="78"/>
      <c r="D648" s="78"/>
      <c r="E648" s="78"/>
      <c r="F648" s="78"/>
    </row>
    <row r="649" spans="2:6" ht="12.6" customHeight="1" x14ac:dyDescent="0.3">
      <c r="B649" s="78"/>
      <c r="C649" s="78"/>
      <c r="D649" s="78"/>
      <c r="E649" s="78"/>
      <c r="F649" s="78"/>
    </row>
    <row r="650" spans="2:6" ht="12.6" customHeight="1" x14ac:dyDescent="0.3">
      <c r="B650" s="78"/>
      <c r="C650" s="78"/>
      <c r="D650" s="78"/>
      <c r="E650" s="78"/>
      <c r="F650" s="78"/>
    </row>
    <row r="651" spans="2:6" ht="12.6" customHeight="1" x14ac:dyDescent="0.3">
      <c r="B651" s="78"/>
      <c r="C651" s="78"/>
      <c r="D651" s="78"/>
      <c r="E651" s="78"/>
      <c r="F651" s="78"/>
    </row>
    <row r="652" spans="2:6" ht="12.6" customHeight="1" x14ac:dyDescent="0.3">
      <c r="B652" s="78"/>
      <c r="C652" s="78"/>
      <c r="D652" s="78"/>
      <c r="E652" s="78"/>
      <c r="F652" s="78"/>
    </row>
    <row r="653" spans="2:6" ht="12.6" customHeight="1" x14ac:dyDescent="0.3">
      <c r="B653" s="78"/>
      <c r="C653" s="78"/>
      <c r="D653" s="78"/>
      <c r="E653" s="78"/>
      <c r="F653" s="78"/>
    </row>
    <row r="654" spans="2:6" ht="12.6" customHeight="1" x14ac:dyDescent="0.3">
      <c r="B654" s="78"/>
      <c r="C654" s="78"/>
      <c r="D654" s="78"/>
      <c r="E654" s="78"/>
      <c r="F654" s="78"/>
    </row>
    <row r="655" spans="2:6" ht="12.6" customHeight="1" x14ac:dyDescent="0.3">
      <c r="B655" s="78"/>
      <c r="C655" s="78"/>
      <c r="D655" s="78"/>
      <c r="E655" s="78"/>
      <c r="F655" s="78"/>
    </row>
    <row r="656" spans="2:6" ht="12.6" customHeight="1" x14ac:dyDescent="0.3">
      <c r="B656" s="78"/>
      <c r="C656" s="78"/>
      <c r="D656" s="78"/>
      <c r="E656" s="78"/>
      <c r="F656" s="78"/>
    </row>
    <row r="657" spans="2:6" ht="12.6" customHeight="1" x14ac:dyDescent="0.3">
      <c r="B657" s="78"/>
      <c r="C657" s="78"/>
      <c r="D657" s="78"/>
      <c r="E657" s="78"/>
      <c r="F657" s="78"/>
    </row>
    <row r="658" spans="2:6" ht="12.6" customHeight="1" x14ac:dyDescent="0.3">
      <c r="B658" s="78"/>
      <c r="C658" s="78"/>
      <c r="D658" s="78"/>
      <c r="E658" s="78"/>
      <c r="F658" s="78"/>
    </row>
    <row r="659" spans="2:6" ht="12.6" customHeight="1" x14ac:dyDescent="0.3">
      <c r="B659" s="78"/>
      <c r="C659" s="78"/>
      <c r="D659" s="78"/>
      <c r="E659" s="78"/>
      <c r="F659" s="78"/>
    </row>
    <row r="660" spans="2:6" ht="12.6" customHeight="1" x14ac:dyDescent="0.3">
      <c r="B660" s="78"/>
      <c r="C660" s="78"/>
      <c r="D660" s="78"/>
      <c r="E660" s="78"/>
      <c r="F660" s="78"/>
    </row>
    <row r="661" spans="2:6" ht="12.6" customHeight="1" x14ac:dyDescent="0.3">
      <c r="B661" s="78"/>
      <c r="C661" s="78"/>
      <c r="D661" s="78"/>
      <c r="E661" s="78"/>
      <c r="F661" s="78"/>
    </row>
    <row r="662" spans="2:6" ht="12.6" customHeight="1" x14ac:dyDescent="0.3">
      <c r="B662" s="78"/>
      <c r="C662" s="78"/>
      <c r="D662" s="78"/>
      <c r="E662" s="78"/>
      <c r="F662" s="78"/>
    </row>
    <row r="663" spans="2:6" ht="12.6" customHeight="1" x14ac:dyDescent="0.3">
      <c r="B663" s="78"/>
      <c r="C663" s="78"/>
      <c r="D663" s="78"/>
      <c r="E663" s="78"/>
      <c r="F663" s="78"/>
    </row>
    <row r="664" spans="2:6" ht="12.6" customHeight="1" x14ac:dyDescent="0.3">
      <c r="B664" s="78"/>
      <c r="C664" s="78"/>
      <c r="D664" s="78"/>
      <c r="E664" s="78"/>
      <c r="F664" s="78"/>
    </row>
    <row r="665" spans="2:6" ht="12.6" customHeight="1" x14ac:dyDescent="0.3">
      <c r="B665" s="78"/>
      <c r="C665" s="78"/>
      <c r="D665" s="78"/>
      <c r="E665" s="78"/>
      <c r="F665" s="78"/>
    </row>
    <row r="666" spans="2:6" ht="12.6" customHeight="1" x14ac:dyDescent="0.3">
      <c r="B666" s="78"/>
      <c r="C666" s="78"/>
      <c r="D666" s="78"/>
      <c r="E666" s="78"/>
      <c r="F666" s="78"/>
    </row>
    <row r="667" spans="2:6" ht="12.6" customHeight="1" x14ac:dyDescent="0.3">
      <c r="B667" s="78"/>
      <c r="C667" s="78"/>
      <c r="D667" s="78"/>
      <c r="E667" s="78"/>
      <c r="F667" s="78"/>
    </row>
    <row r="668" spans="2:6" ht="12.6" customHeight="1" x14ac:dyDescent="0.3">
      <c r="B668" s="78"/>
      <c r="C668" s="78"/>
      <c r="D668" s="78"/>
      <c r="E668" s="78"/>
      <c r="F668" s="78"/>
    </row>
    <row r="669" spans="2:6" ht="12.6" customHeight="1" x14ac:dyDescent="0.3">
      <c r="B669" s="78"/>
      <c r="C669" s="78"/>
      <c r="D669" s="78"/>
      <c r="E669" s="78"/>
      <c r="F669" s="78"/>
    </row>
    <row r="670" spans="2:6" ht="12.6" customHeight="1" x14ac:dyDescent="0.3">
      <c r="B670" s="78"/>
      <c r="C670" s="78"/>
      <c r="D670" s="78"/>
      <c r="E670" s="78"/>
      <c r="F670" s="78"/>
    </row>
    <row r="671" spans="2:6" ht="12.6" customHeight="1" x14ac:dyDescent="0.3">
      <c r="B671" s="78"/>
      <c r="C671" s="78"/>
      <c r="D671" s="78"/>
      <c r="E671" s="78"/>
      <c r="F671" s="78"/>
    </row>
    <row r="672" spans="2:6" ht="12.6" customHeight="1" x14ac:dyDescent="0.3">
      <c r="B672" s="78"/>
      <c r="C672" s="78"/>
      <c r="D672" s="78"/>
      <c r="E672" s="78"/>
      <c r="F672" s="78"/>
    </row>
    <row r="673" spans="2:6" ht="12.6" customHeight="1" x14ac:dyDescent="0.3">
      <c r="B673" s="78"/>
      <c r="C673" s="78"/>
      <c r="D673" s="78"/>
      <c r="E673" s="78"/>
      <c r="F673" s="78"/>
    </row>
    <row r="674" spans="2:6" ht="12.6" customHeight="1" x14ac:dyDescent="0.3">
      <c r="B674" s="78"/>
      <c r="C674" s="78"/>
      <c r="D674" s="78"/>
      <c r="E674" s="78"/>
      <c r="F674" s="78"/>
    </row>
    <row r="675" spans="2:6" ht="12.6" customHeight="1" x14ac:dyDescent="0.3">
      <c r="B675" s="78"/>
      <c r="C675" s="78"/>
      <c r="D675" s="78"/>
      <c r="E675" s="78"/>
      <c r="F675" s="78"/>
    </row>
    <row r="676" spans="2:6" ht="12.6" customHeight="1" x14ac:dyDescent="0.3">
      <c r="B676" s="78"/>
      <c r="C676" s="78"/>
      <c r="D676" s="78"/>
      <c r="E676" s="78"/>
      <c r="F676" s="78"/>
    </row>
    <row r="677" spans="2:6" ht="12.6" customHeight="1" x14ac:dyDescent="0.3">
      <c r="B677" s="78"/>
      <c r="C677" s="78"/>
      <c r="D677" s="78"/>
      <c r="E677" s="78"/>
      <c r="F677" s="78"/>
    </row>
    <row r="678" spans="2:6" ht="12.6" customHeight="1" x14ac:dyDescent="0.3">
      <c r="B678" s="78"/>
      <c r="C678" s="78"/>
      <c r="D678" s="78"/>
      <c r="E678" s="78"/>
      <c r="F678" s="78"/>
    </row>
    <row r="679" spans="2:6" ht="12.6" customHeight="1" x14ac:dyDescent="0.3">
      <c r="B679" s="78"/>
      <c r="C679" s="78"/>
      <c r="D679" s="78"/>
      <c r="E679" s="78"/>
      <c r="F679" s="78"/>
    </row>
    <row r="680" spans="2:6" ht="12.6" customHeight="1" x14ac:dyDescent="0.3">
      <c r="B680" s="78"/>
      <c r="C680" s="78"/>
      <c r="D680" s="78"/>
      <c r="E680" s="78"/>
      <c r="F680" s="78"/>
    </row>
    <row r="681" spans="2:6" ht="12.6" customHeight="1" x14ac:dyDescent="0.3">
      <c r="B681" s="78"/>
      <c r="C681" s="78"/>
      <c r="D681" s="78"/>
      <c r="E681" s="78"/>
      <c r="F681" s="78"/>
    </row>
    <row r="682" spans="2:6" ht="12.6" customHeight="1" x14ac:dyDescent="0.3">
      <c r="B682" s="78"/>
      <c r="C682" s="78"/>
      <c r="D682" s="78"/>
      <c r="E682" s="78"/>
      <c r="F682" s="78"/>
    </row>
    <row r="683" spans="2:6" ht="12.6" customHeight="1" x14ac:dyDescent="0.3">
      <c r="B683" s="78"/>
      <c r="C683" s="78"/>
      <c r="D683" s="78"/>
      <c r="E683" s="78"/>
      <c r="F683" s="78"/>
    </row>
    <row r="684" spans="2:6" ht="12.6" customHeight="1" x14ac:dyDescent="0.3">
      <c r="B684" s="78"/>
      <c r="C684" s="78"/>
      <c r="D684" s="78"/>
      <c r="E684" s="78"/>
      <c r="F684" s="78"/>
    </row>
    <row r="685" spans="2:6" ht="12.6" customHeight="1" x14ac:dyDescent="0.3">
      <c r="B685" s="78"/>
      <c r="C685" s="78"/>
      <c r="D685" s="78"/>
      <c r="E685" s="78"/>
      <c r="F685" s="78"/>
    </row>
    <row r="686" spans="2:6" ht="12.6" customHeight="1" x14ac:dyDescent="0.3">
      <c r="B686" s="78"/>
      <c r="C686" s="78"/>
      <c r="D686" s="78"/>
      <c r="E686" s="78"/>
      <c r="F686" s="78"/>
    </row>
    <row r="687" spans="2:6" ht="12.6" customHeight="1" x14ac:dyDescent="0.3">
      <c r="B687" s="78"/>
      <c r="C687" s="78"/>
      <c r="D687" s="78"/>
      <c r="E687" s="78"/>
      <c r="F687" s="78"/>
    </row>
    <row r="688" spans="2:6" ht="12.6" customHeight="1" x14ac:dyDescent="0.3">
      <c r="B688" s="78"/>
      <c r="C688" s="78"/>
      <c r="D688" s="78"/>
      <c r="E688" s="78"/>
      <c r="F688" s="78"/>
    </row>
    <row r="689" spans="2:6" ht="12.6" customHeight="1" x14ac:dyDescent="0.3">
      <c r="B689" s="78"/>
      <c r="C689" s="78"/>
      <c r="D689" s="78"/>
      <c r="E689" s="78"/>
      <c r="F689" s="78"/>
    </row>
    <row r="690" spans="2:6" ht="12.6" customHeight="1" x14ac:dyDescent="0.3">
      <c r="B690" s="78"/>
      <c r="C690" s="78"/>
      <c r="D690" s="78"/>
      <c r="E690" s="78"/>
      <c r="F690" s="78"/>
    </row>
    <row r="691" spans="2:6" ht="12.6" customHeight="1" x14ac:dyDescent="0.3">
      <c r="B691" s="78"/>
      <c r="C691" s="78"/>
      <c r="D691" s="78"/>
      <c r="E691" s="78"/>
      <c r="F691" s="78"/>
    </row>
    <row r="692" spans="2:6" ht="12.6" customHeight="1" x14ac:dyDescent="0.3">
      <c r="B692" s="78"/>
      <c r="C692" s="78"/>
      <c r="D692" s="78"/>
      <c r="E692" s="78"/>
      <c r="F692" s="78"/>
    </row>
    <row r="693" spans="2:6" ht="12.6" customHeight="1" x14ac:dyDescent="0.3">
      <c r="B693" s="78"/>
      <c r="C693" s="78"/>
      <c r="D693" s="78"/>
      <c r="E693" s="78"/>
      <c r="F693" s="78"/>
    </row>
    <row r="694" spans="2:6" ht="12.6" customHeight="1" x14ac:dyDescent="0.3">
      <c r="B694" s="78"/>
      <c r="C694" s="78"/>
      <c r="D694" s="78"/>
      <c r="E694" s="78"/>
      <c r="F694" s="78"/>
    </row>
    <row r="695" spans="2:6" ht="12.6" customHeight="1" x14ac:dyDescent="0.3">
      <c r="B695" s="78"/>
      <c r="C695" s="78"/>
      <c r="D695" s="78"/>
      <c r="E695" s="78"/>
      <c r="F695" s="78"/>
    </row>
    <row r="696" spans="2:6" ht="12.6" customHeight="1" x14ac:dyDescent="0.3">
      <c r="B696" s="78"/>
      <c r="C696" s="78"/>
      <c r="D696" s="78"/>
      <c r="E696" s="78"/>
      <c r="F696" s="78"/>
    </row>
    <row r="697" spans="2:6" ht="12.6" customHeight="1" x14ac:dyDescent="0.3">
      <c r="B697" s="78"/>
      <c r="C697" s="78"/>
      <c r="D697" s="78"/>
      <c r="E697" s="78"/>
      <c r="F697" s="78"/>
    </row>
    <row r="698" spans="2:6" ht="12.6" customHeight="1" x14ac:dyDescent="0.3">
      <c r="B698" s="78"/>
      <c r="C698" s="78"/>
      <c r="D698" s="78"/>
      <c r="E698" s="78"/>
      <c r="F698" s="78"/>
    </row>
    <row r="699" spans="2:6" ht="12.6" customHeight="1" x14ac:dyDescent="0.3">
      <c r="B699" s="78"/>
      <c r="C699" s="78"/>
      <c r="D699" s="78"/>
      <c r="E699" s="78"/>
      <c r="F699" s="78"/>
    </row>
    <row r="700" spans="2:6" ht="12.6" customHeight="1" x14ac:dyDescent="0.3">
      <c r="B700" s="78"/>
      <c r="C700" s="78"/>
      <c r="D700" s="78"/>
      <c r="E700" s="78"/>
      <c r="F700" s="78"/>
    </row>
    <row r="701" spans="2:6" ht="12.6" customHeight="1" x14ac:dyDescent="0.3">
      <c r="B701" s="78"/>
      <c r="C701" s="78"/>
      <c r="D701" s="78"/>
      <c r="E701" s="78"/>
      <c r="F701" s="78"/>
    </row>
    <row r="702" spans="2:6" ht="12.6" customHeight="1" x14ac:dyDescent="0.3">
      <c r="B702" s="78"/>
      <c r="C702" s="78"/>
      <c r="D702" s="78"/>
      <c r="E702" s="78"/>
      <c r="F702" s="78"/>
    </row>
    <row r="703" spans="2:6" ht="12.6" customHeight="1" x14ac:dyDescent="0.3">
      <c r="B703" s="78"/>
      <c r="C703" s="78"/>
      <c r="D703" s="78"/>
      <c r="E703" s="78"/>
      <c r="F703" s="78"/>
    </row>
    <row r="704" spans="2:6" ht="12.6" customHeight="1" x14ac:dyDescent="0.3">
      <c r="B704" s="78"/>
      <c r="C704" s="78"/>
      <c r="D704" s="78"/>
      <c r="E704" s="78"/>
      <c r="F704" s="78"/>
    </row>
    <row r="705" spans="2:6" ht="12.6" customHeight="1" x14ac:dyDescent="0.3">
      <c r="B705" s="78"/>
      <c r="C705" s="78"/>
      <c r="D705" s="78"/>
      <c r="E705" s="78"/>
      <c r="F705" s="78"/>
    </row>
    <row r="706" spans="2:6" ht="12.6" customHeight="1" x14ac:dyDescent="0.3">
      <c r="B706" s="78"/>
      <c r="C706" s="78"/>
      <c r="D706" s="78"/>
      <c r="E706" s="78"/>
      <c r="F706" s="78"/>
    </row>
    <row r="707" spans="2:6" ht="12.6" customHeight="1" x14ac:dyDescent="0.3">
      <c r="B707" s="78"/>
      <c r="C707" s="78"/>
      <c r="D707" s="78"/>
      <c r="E707" s="78"/>
      <c r="F707" s="78"/>
    </row>
    <row r="708" spans="2:6" ht="12.6" customHeight="1" x14ac:dyDescent="0.3">
      <c r="B708" s="78"/>
      <c r="C708" s="78"/>
      <c r="D708" s="78"/>
      <c r="E708" s="78"/>
      <c r="F708" s="78"/>
    </row>
    <row r="709" spans="2:6" ht="12.6" customHeight="1" x14ac:dyDescent="0.3">
      <c r="B709" s="78"/>
      <c r="C709" s="78"/>
      <c r="D709" s="78"/>
      <c r="E709" s="78"/>
      <c r="F709" s="78"/>
    </row>
    <row r="710" spans="2:6" ht="12.6" customHeight="1" x14ac:dyDescent="0.3">
      <c r="B710" s="78"/>
      <c r="C710" s="78"/>
      <c r="D710" s="78"/>
      <c r="E710" s="78"/>
      <c r="F710" s="78"/>
    </row>
    <row r="711" spans="2:6" ht="12.6" customHeight="1" x14ac:dyDescent="0.3">
      <c r="B711" s="78"/>
      <c r="C711" s="78"/>
      <c r="D711" s="78"/>
      <c r="E711" s="78"/>
      <c r="F711" s="78"/>
    </row>
    <row r="712" spans="2:6" ht="12.6" customHeight="1" x14ac:dyDescent="0.3">
      <c r="B712" s="78"/>
      <c r="C712" s="78"/>
      <c r="D712" s="78"/>
      <c r="E712" s="78"/>
      <c r="F712" s="78"/>
    </row>
    <row r="713" spans="2:6" ht="12.6" customHeight="1" x14ac:dyDescent="0.3">
      <c r="B713" s="78"/>
      <c r="C713" s="78"/>
      <c r="D713" s="78"/>
      <c r="E713" s="78"/>
      <c r="F713" s="78"/>
    </row>
    <row r="714" spans="2:6" ht="12.6" customHeight="1" x14ac:dyDescent="0.3">
      <c r="B714" s="78"/>
      <c r="C714" s="78"/>
      <c r="D714" s="78"/>
      <c r="E714" s="78"/>
      <c r="F714" s="78"/>
    </row>
    <row r="715" spans="2:6" ht="12.6" customHeight="1" x14ac:dyDescent="0.3">
      <c r="B715" s="78"/>
      <c r="C715" s="78"/>
      <c r="D715" s="78"/>
      <c r="E715" s="78"/>
      <c r="F715" s="78"/>
    </row>
    <row r="716" spans="2:6" ht="12.6" customHeight="1" x14ac:dyDescent="0.3">
      <c r="B716" s="78"/>
      <c r="C716" s="78"/>
      <c r="D716" s="78"/>
      <c r="E716" s="78"/>
      <c r="F716" s="78"/>
    </row>
    <row r="717" spans="2:6" ht="12.6" customHeight="1" x14ac:dyDescent="0.3">
      <c r="B717" s="78"/>
      <c r="C717" s="78"/>
      <c r="D717" s="78"/>
      <c r="E717" s="78"/>
      <c r="F717" s="78"/>
    </row>
    <row r="718" spans="2:6" ht="12.6" customHeight="1" x14ac:dyDescent="0.3">
      <c r="B718" s="78"/>
      <c r="C718" s="78"/>
      <c r="D718" s="78"/>
      <c r="E718" s="78"/>
      <c r="F718" s="78"/>
    </row>
    <row r="719" spans="2:6" ht="12.6" customHeight="1" x14ac:dyDescent="0.3">
      <c r="B719" s="78"/>
      <c r="C719" s="78"/>
      <c r="D719" s="78"/>
      <c r="E719" s="78"/>
      <c r="F719" s="78"/>
    </row>
    <row r="720" spans="2:6" ht="12.6" customHeight="1" x14ac:dyDescent="0.3">
      <c r="B720" s="78"/>
      <c r="C720" s="78"/>
      <c r="D720" s="78"/>
      <c r="E720" s="78"/>
      <c r="F720" s="78"/>
    </row>
    <row r="721" spans="2:6" ht="12.6" customHeight="1" x14ac:dyDescent="0.3">
      <c r="B721" s="78"/>
      <c r="C721" s="78"/>
      <c r="D721" s="78"/>
      <c r="E721" s="78"/>
      <c r="F721" s="78"/>
    </row>
    <row r="722" spans="2:6" ht="12.6" customHeight="1" x14ac:dyDescent="0.3">
      <c r="B722" s="78"/>
      <c r="C722" s="78"/>
      <c r="D722" s="78"/>
      <c r="E722" s="78"/>
      <c r="F722" s="78"/>
    </row>
    <row r="723" spans="2:6" ht="12.6" customHeight="1" x14ac:dyDescent="0.3">
      <c r="B723" s="78"/>
      <c r="C723" s="78"/>
      <c r="D723" s="78"/>
      <c r="E723" s="78"/>
      <c r="F723" s="78"/>
    </row>
    <row r="724" spans="2:6" ht="12.6" customHeight="1" x14ac:dyDescent="0.3">
      <c r="B724" s="78"/>
      <c r="C724" s="78"/>
      <c r="D724" s="78"/>
      <c r="E724" s="78"/>
      <c r="F724" s="78"/>
    </row>
    <row r="725" spans="2:6" ht="12.6" customHeight="1" x14ac:dyDescent="0.3">
      <c r="B725" s="78"/>
      <c r="C725" s="78"/>
      <c r="D725" s="78"/>
      <c r="E725" s="78"/>
      <c r="F725" s="78"/>
    </row>
    <row r="726" spans="2:6" ht="12.6" customHeight="1" x14ac:dyDescent="0.3">
      <c r="B726" s="78"/>
      <c r="C726" s="78"/>
      <c r="D726" s="78"/>
      <c r="E726" s="78"/>
      <c r="F726" s="78"/>
    </row>
    <row r="727" spans="2:6" ht="12.6" customHeight="1" x14ac:dyDescent="0.3">
      <c r="B727" s="78"/>
      <c r="C727" s="78"/>
      <c r="D727" s="78"/>
      <c r="E727" s="78"/>
      <c r="F727" s="78"/>
    </row>
    <row r="728" spans="2:6" ht="12.6" customHeight="1" x14ac:dyDescent="0.3">
      <c r="B728" s="78"/>
      <c r="C728" s="78"/>
      <c r="D728" s="78"/>
      <c r="E728" s="78"/>
      <c r="F728" s="78"/>
    </row>
    <row r="729" spans="2:6" ht="12.6" customHeight="1" x14ac:dyDescent="0.3">
      <c r="B729" s="78"/>
      <c r="C729" s="78"/>
      <c r="D729" s="78"/>
      <c r="E729" s="78"/>
      <c r="F729" s="78"/>
    </row>
    <row r="730" spans="2:6" ht="12.6" customHeight="1" x14ac:dyDescent="0.3">
      <c r="B730" s="78"/>
      <c r="C730" s="78"/>
      <c r="D730" s="78"/>
      <c r="E730" s="78"/>
      <c r="F730" s="78"/>
    </row>
    <row r="731" spans="2:6" ht="12.6" customHeight="1" x14ac:dyDescent="0.3">
      <c r="B731" s="78"/>
      <c r="C731" s="78"/>
      <c r="D731" s="78"/>
      <c r="E731" s="78"/>
      <c r="F731" s="78"/>
    </row>
    <row r="732" spans="2:6" ht="12.6" customHeight="1" x14ac:dyDescent="0.3">
      <c r="B732" s="78"/>
      <c r="C732" s="78"/>
      <c r="D732" s="78"/>
      <c r="E732" s="78"/>
      <c r="F732" s="78"/>
    </row>
    <row r="733" spans="2:6" ht="12.6" customHeight="1" x14ac:dyDescent="0.3">
      <c r="B733" s="78"/>
      <c r="C733" s="78"/>
      <c r="D733" s="78"/>
      <c r="E733" s="78"/>
      <c r="F733" s="78"/>
    </row>
    <row r="734" spans="2:6" ht="12.6" customHeight="1" x14ac:dyDescent="0.3">
      <c r="B734" s="78"/>
      <c r="C734" s="78"/>
      <c r="D734" s="78"/>
      <c r="E734" s="78"/>
      <c r="F734" s="78"/>
    </row>
    <row r="735" spans="2:6" ht="12.6" customHeight="1" x14ac:dyDescent="0.3">
      <c r="B735" s="78"/>
      <c r="C735" s="78"/>
      <c r="D735" s="78"/>
      <c r="E735" s="78"/>
      <c r="F735" s="78"/>
    </row>
    <row r="736" spans="2:6" ht="12.6" customHeight="1" x14ac:dyDescent="0.3">
      <c r="B736" s="78"/>
      <c r="C736" s="78"/>
      <c r="D736" s="78"/>
      <c r="E736" s="78"/>
      <c r="F736" s="78"/>
    </row>
    <row r="737" spans="2:6" ht="12.6" customHeight="1" x14ac:dyDescent="0.3">
      <c r="B737" s="78"/>
      <c r="C737" s="78"/>
      <c r="D737" s="78"/>
      <c r="E737" s="78"/>
      <c r="F737" s="78"/>
    </row>
    <row r="738" spans="2:6" ht="12.6" customHeight="1" x14ac:dyDescent="0.3">
      <c r="B738" s="78"/>
      <c r="C738" s="78"/>
      <c r="D738" s="78"/>
      <c r="E738" s="78"/>
      <c r="F738" s="78"/>
    </row>
    <row r="739" spans="2:6" ht="12.6" customHeight="1" x14ac:dyDescent="0.3">
      <c r="B739" s="78"/>
      <c r="C739" s="78"/>
      <c r="D739" s="78"/>
      <c r="E739" s="78"/>
      <c r="F739" s="78"/>
    </row>
    <row r="740" spans="2:6" ht="12.6" customHeight="1" x14ac:dyDescent="0.3">
      <c r="B740" s="78"/>
      <c r="C740" s="78"/>
      <c r="D740" s="78"/>
      <c r="E740" s="78"/>
      <c r="F740" s="78"/>
    </row>
    <row r="741" spans="2:6" ht="12.6" customHeight="1" x14ac:dyDescent="0.3">
      <c r="B741" s="78"/>
      <c r="C741" s="78"/>
      <c r="D741" s="78"/>
      <c r="E741" s="78"/>
      <c r="F741" s="78"/>
    </row>
    <row r="742" spans="2:6" ht="12.6" customHeight="1" x14ac:dyDescent="0.3">
      <c r="B742" s="78"/>
      <c r="C742" s="78"/>
      <c r="D742" s="78"/>
      <c r="E742" s="78"/>
      <c r="F742" s="78"/>
    </row>
    <row r="743" spans="2:6" ht="12.6" customHeight="1" x14ac:dyDescent="0.3">
      <c r="B743" s="78"/>
      <c r="C743" s="78"/>
      <c r="D743" s="78"/>
      <c r="E743" s="78"/>
      <c r="F743" s="78"/>
    </row>
    <row r="744" spans="2:6" ht="12.6" customHeight="1" x14ac:dyDescent="0.3">
      <c r="B744" s="78"/>
      <c r="C744" s="78"/>
      <c r="D744" s="78"/>
      <c r="E744" s="78"/>
      <c r="F744" s="78"/>
    </row>
    <row r="745" spans="2:6" ht="12.6" customHeight="1" x14ac:dyDescent="0.3">
      <c r="B745" s="78"/>
      <c r="C745" s="78"/>
      <c r="D745" s="78"/>
      <c r="E745" s="78"/>
      <c r="F745" s="78"/>
    </row>
    <row r="746" spans="2:6" ht="12.6" customHeight="1" x14ac:dyDescent="0.3">
      <c r="B746" s="78"/>
      <c r="C746" s="78"/>
      <c r="D746" s="78"/>
      <c r="E746" s="78"/>
      <c r="F746" s="78"/>
    </row>
    <row r="747" spans="2:6" ht="12.6" customHeight="1" x14ac:dyDescent="0.3">
      <c r="B747" s="78"/>
      <c r="C747" s="78"/>
      <c r="D747" s="78"/>
      <c r="E747" s="78"/>
      <c r="F747" s="78"/>
    </row>
    <row r="748" spans="2:6" ht="12.6" customHeight="1" x14ac:dyDescent="0.3">
      <c r="B748" s="78"/>
      <c r="C748" s="78"/>
      <c r="D748" s="78"/>
      <c r="E748" s="78"/>
      <c r="F748" s="78"/>
    </row>
    <row r="749" spans="2:6" ht="12.6" customHeight="1" x14ac:dyDescent="0.3">
      <c r="B749" s="78"/>
      <c r="C749" s="78"/>
      <c r="D749" s="78"/>
      <c r="E749" s="78"/>
      <c r="F749" s="78"/>
    </row>
    <row r="750" spans="2:6" ht="12.6" customHeight="1" x14ac:dyDescent="0.3">
      <c r="B750" s="78"/>
      <c r="C750" s="78"/>
      <c r="D750" s="78"/>
      <c r="E750" s="78"/>
      <c r="F750" s="78"/>
    </row>
    <row r="751" spans="2:6" ht="12.6" customHeight="1" x14ac:dyDescent="0.3">
      <c r="B751" s="78"/>
      <c r="C751" s="78"/>
      <c r="D751" s="78"/>
      <c r="E751" s="78"/>
      <c r="F751" s="78"/>
    </row>
    <row r="752" spans="2:6" ht="12.6" customHeight="1" x14ac:dyDescent="0.3">
      <c r="B752" s="78"/>
      <c r="C752" s="78"/>
      <c r="D752" s="78"/>
      <c r="E752" s="78"/>
      <c r="F752" s="78"/>
    </row>
    <row r="753" spans="2:6" ht="12.6" customHeight="1" x14ac:dyDescent="0.3">
      <c r="B753" s="78"/>
      <c r="C753" s="78"/>
      <c r="D753" s="78"/>
      <c r="E753" s="78"/>
      <c r="F753" s="78"/>
    </row>
    <row r="754" spans="2:6" ht="12.6" customHeight="1" x14ac:dyDescent="0.3">
      <c r="B754" s="78"/>
      <c r="C754" s="78"/>
      <c r="D754" s="78"/>
      <c r="E754" s="78"/>
      <c r="F754" s="78"/>
    </row>
    <row r="755" spans="2:6" ht="12.6" customHeight="1" x14ac:dyDescent="0.3">
      <c r="B755" s="78"/>
      <c r="C755" s="78"/>
      <c r="D755" s="78"/>
      <c r="E755" s="78"/>
      <c r="F755" s="78"/>
    </row>
    <row r="756" spans="2:6" ht="12.6" customHeight="1" x14ac:dyDescent="0.3">
      <c r="B756" s="78"/>
      <c r="C756" s="78"/>
      <c r="D756" s="78"/>
      <c r="E756" s="78"/>
      <c r="F756" s="78"/>
    </row>
    <row r="757" spans="2:6" ht="12.6" customHeight="1" x14ac:dyDescent="0.3">
      <c r="B757" s="78"/>
      <c r="C757" s="78"/>
      <c r="D757" s="78"/>
      <c r="E757" s="78"/>
      <c r="F757" s="78"/>
    </row>
    <row r="758" spans="2:6" ht="12.6" customHeight="1" x14ac:dyDescent="0.3">
      <c r="B758" s="78"/>
      <c r="C758" s="78"/>
      <c r="D758" s="78"/>
      <c r="E758" s="78"/>
      <c r="F758" s="78"/>
    </row>
    <row r="759" spans="2:6" ht="12.6" customHeight="1" x14ac:dyDescent="0.3">
      <c r="B759" s="78"/>
      <c r="C759" s="78"/>
      <c r="D759" s="78"/>
      <c r="E759" s="78"/>
      <c r="F759" s="78"/>
    </row>
    <row r="760" spans="2:6" ht="12.6" customHeight="1" x14ac:dyDescent="0.3">
      <c r="B760" s="78"/>
      <c r="C760" s="78"/>
      <c r="D760" s="78"/>
      <c r="E760" s="78"/>
      <c r="F760" s="78"/>
    </row>
    <row r="761" spans="2:6" ht="12.6" customHeight="1" x14ac:dyDescent="0.3">
      <c r="B761" s="78"/>
      <c r="C761" s="78"/>
      <c r="D761" s="78"/>
      <c r="E761" s="78"/>
      <c r="F761" s="78"/>
    </row>
    <row r="762" spans="2:6" ht="12.6" customHeight="1" x14ac:dyDescent="0.3">
      <c r="B762" s="78"/>
      <c r="C762" s="78"/>
      <c r="D762" s="78"/>
      <c r="E762" s="78"/>
      <c r="F762" s="78"/>
    </row>
    <row r="763" spans="2:6" ht="12.6" customHeight="1" x14ac:dyDescent="0.3">
      <c r="B763" s="78"/>
      <c r="C763" s="78"/>
      <c r="D763" s="78"/>
      <c r="E763" s="78"/>
      <c r="F763" s="78"/>
    </row>
    <row r="764" spans="2:6" ht="12.6" customHeight="1" x14ac:dyDescent="0.3">
      <c r="B764" s="78"/>
      <c r="C764" s="78"/>
      <c r="D764" s="78"/>
      <c r="E764" s="78"/>
      <c r="F764" s="78"/>
    </row>
    <row r="765" spans="2:6" ht="12.6" customHeight="1" x14ac:dyDescent="0.3">
      <c r="B765" s="78"/>
      <c r="C765" s="78"/>
      <c r="D765" s="78"/>
      <c r="E765" s="78"/>
      <c r="F765" s="78"/>
    </row>
    <row r="766" spans="2:6" ht="12.6" customHeight="1" x14ac:dyDescent="0.3">
      <c r="B766" s="78"/>
      <c r="C766" s="78"/>
      <c r="D766" s="78"/>
      <c r="E766" s="78"/>
      <c r="F766" s="78"/>
    </row>
    <row r="767" spans="2:6" ht="12.6" customHeight="1" x14ac:dyDescent="0.3">
      <c r="B767" s="78"/>
      <c r="C767" s="78"/>
      <c r="D767" s="78"/>
      <c r="E767" s="78"/>
      <c r="F767" s="78"/>
    </row>
    <row r="768" spans="2:6" ht="12.6" customHeight="1" x14ac:dyDescent="0.3">
      <c r="B768" s="78"/>
      <c r="C768" s="78"/>
      <c r="D768" s="78"/>
      <c r="E768" s="78"/>
      <c r="F768" s="78"/>
    </row>
    <row r="769" spans="2:6" ht="12.6" customHeight="1" x14ac:dyDescent="0.3">
      <c r="B769" s="78"/>
      <c r="C769" s="78"/>
      <c r="D769" s="78"/>
      <c r="E769" s="78"/>
      <c r="F769" s="78"/>
    </row>
    <row r="770" spans="2:6" ht="12.6" customHeight="1" x14ac:dyDescent="0.3">
      <c r="B770" s="78"/>
      <c r="C770" s="78"/>
      <c r="D770" s="78"/>
      <c r="E770" s="78"/>
      <c r="F770" s="78"/>
    </row>
    <row r="771" spans="2:6" ht="12.6" customHeight="1" x14ac:dyDescent="0.3">
      <c r="B771" s="78"/>
      <c r="C771" s="78"/>
      <c r="D771" s="78"/>
      <c r="E771" s="78"/>
      <c r="F771" s="78"/>
    </row>
    <row r="772" spans="2:6" ht="12.6" customHeight="1" x14ac:dyDescent="0.3">
      <c r="B772" s="78"/>
      <c r="C772" s="78"/>
      <c r="D772" s="78"/>
      <c r="E772" s="78"/>
      <c r="F772" s="78"/>
    </row>
    <row r="773" spans="2:6" ht="12.6" customHeight="1" x14ac:dyDescent="0.3">
      <c r="B773" s="78"/>
      <c r="C773" s="78"/>
      <c r="D773" s="78"/>
      <c r="E773" s="78"/>
      <c r="F773" s="78"/>
    </row>
    <row r="774" spans="2:6" ht="12.6" customHeight="1" x14ac:dyDescent="0.3">
      <c r="B774" s="78"/>
      <c r="C774" s="78"/>
      <c r="D774" s="78"/>
      <c r="E774" s="78"/>
      <c r="F774" s="78"/>
    </row>
    <row r="775" spans="2:6" ht="12.6" customHeight="1" x14ac:dyDescent="0.3">
      <c r="B775" s="78"/>
      <c r="C775" s="78"/>
      <c r="D775" s="78"/>
      <c r="E775" s="78"/>
      <c r="F775" s="78"/>
    </row>
    <row r="776" spans="2:6" ht="12.6" customHeight="1" x14ac:dyDescent="0.3">
      <c r="B776" s="78"/>
      <c r="C776" s="78"/>
      <c r="D776" s="78"/>
      <c r="E776" s="78"/>
      <c r="F776" s="78"/>
    </row>
    <row r="777" spans="2:6" ht="12.6" customHeight="1" x14ac:dyDescent="0.3">
      <c r="B777" s="78"/>
      <c r="C777" s="78"/>
      <c r="D777" s="78"/>
      <c r="E777" s="78"/>
      <c r="F777" s="78"/>
    </row>
    <row r="778" spans="2:6" ht="12.6" customHeight="1" x14ac:dyDescent="0.3">
      <c r="B778" s="78"/>
      <c r="C778" s="78"/>
      <c r="D778" s="78"/>
      <c r="E778" s="78"/>
      <c r="F778" s="78"/>
    </row>
    <row r="779" spans="2:6" ht="12.6" customHeight="1" x14ac:dyDescent="0.3">
      <c r="B779" s="78"/>
      <c r="C779" s="78"/>
      <c r="D779" s="78"/>
      <c r="E779" s="78"/>
      <c r="F779" s="78"/>
    </row>
    <row r="780" spans="2:6" ht="12.6" customHeight="1" x14ac:dyDescent="0.3">
      <c r="B780" s="78"/>
      <c r="C780" s="78"/>
      <c r="D780" s="78"/>
      <c r="E780" s="78"/>
      <c r="F780" s="78"/>
    </row>
    <row r="781" spans="2:6" ht="12.6" customHeight="1" x14ac:dyDescent="0.3">
      <c r="B781" s="78"/>
      <c r="C781" s="78"/>
      <c r="D781" s="78"/>
      <c r="E781" s="78"/>
      <c r="F781" s="78"/>
    </row>
    <row r="782" spans="2:6" ht="12.6" customHeight="1" x14ac:dyDescent="0.3">
      <c r="B782" s="78"/>
      <c r="C782" s="78"/>
      <c r="D782" s="78"/>
      <c r="E782" s="78"/>
      <c r="F782" s="78"/>
    </row>
    <row r="783" spans="2:6" ht="12.6" customHeight="1" x14ac:dyDescent="0.3">
      <c r="B783" s="78"/>
      <c r="C783" s="78"/>
      <c r="D783" s="78"/>
      <c r="E783" s="78"/>
      <c r="F783" s="78"/>
    </row>
    <row r="784" spans="2:6" ht="12.6" customHeight="1" x14ac:dyDescent="0.3">
      <c r="B784" s="78"/>
      <c r="C784" s="78"/>
      <c r="D784" s="78"/>
      <c r="E784" s="78"/>
      <c r="F784" s="78"/>
    </row>
    <row r="785" spans="2:6" ht="12.6" customHeight="1" x14ac:dyDescent="0.3">
      <c r="B785" s="78"/>
      <c r="C785" s="78"/>
      <c r="D785" s="78"/>
      <c r="E785" s="78"/>
      <c r="F785" s="78"/>
    </row>
    <row r="786" spans="2:6" ht="12.6" customHeight="1" x14ac:dyDescent="0.3">
      <c r="B786" s="78"/>
      <c r="C786" s="78"/>
      <c r="D786" s="78"/>
      <c r="E786" s="78"/>
      <c r="F786" s="78"/>
    </row>
    <row r="787" spans="2:6" ht="12.6" customHeight="1" x14ac:dyDescent="0.3">
      <c r="B787" s="78"/>
      <c r="C787" s="78"/>
      <c r="D787" s="78"/>
      <c r="E787" s="78"/>
      <c r="F787" s="78"/>
    </row>
    <row r="788" spans="2:6" ht="12.6" customHeight="1" x14ac:dyDescent="0.3">
      <c r="B788" s="78"/>
      <c r="C788" s="78"/>
      <c r="D788" s="78"/>
      <c r="E788" s="78"/>
      <c r="F788" s="78"/>
    </row>
    <row r="789" spans="2:6" ht="12.6" customHeight="1" x14ac:dyDescent="0.3">
      <c r="B789" s="78"/>
      <c r="C789" s="78"/>
      <c r="D789" s="78"/>
      <c r="E789" s="78"/>
      <c r="F789" s="78"/>
    </row>
    <row r="790" spans="2:6" ht="12.6" customHeight="1" x14ac:dyDescent="0.3">
      <c r="B790" s="78"/>
      <c r="C790" s="78"/>
      <c r="D790" s="78"/>
      <c r="E790" s="78"/>
      <c r="F790" s="78"/>
    </row>
    <row r="791" spans="2:6" ht="12.6" customHeight="1" x14ac:dyDescent="0.3">
      <c r="B791" s="78"/>
      <c r="C791" s="78"/>
      <c r="D791" s="78"/>
      <c r="E791" s="78"/>
      <c r="F791" s="78"/>
    </row>
    <row r="792" spans="2:6" ht="12.6" customHeight="1" x14ac:dyDescent="0.3">
      <c r="B792" s="78"/>
      <c r="C792" s="78"/>
      <c r="D792" s="78"/>
      <c r="E792" s="78"/>
      <c r="F792" s="78"/>
    </row>
    <row r="793" spans="2:6" ht="12.6" customHeight="1" x14ac:dyDescent="0.3">
      <c r="B793" s="78"/>
      <c r="C793" s="78"/>
      <c r="D793" s="78"/>
      <c r="E793" s="78"/>
      <c r="F793" s="78"/>
    </row>
    <row r="794" spans="2:6" ht="12.6" customHeight="1" x14ac:dyDescent="0.3">
      <c r="B794" s="78"/>
      <c r="C794" s="78"/>
      <c r="D794" s="78"/>
      <c r="E794" s="78"/>
      <c r="F794" s="78"/>
    </row>
    <row r="795" spans="2:6" ht="12.6" customHeight="1" x14ac:dyDescent="0.3">
      <c r="B795" s="78"/>
      <c r="C795" s="78"/>
      <c r="D795" s="78"/>
      <c r="E795" s="78"/>
      <c r="F795" s="78"/>
    </row>
    <row r="796" spans="2:6" ht="12.6" customHeight="1" x14ac:dyDescent="0.3">
      <c r="B796" s="78"/>
      <c r="C796" s="78"/>
      <c r="D796" s="78"/>
      <c r="E796" s="78"/>
      <c r="F796" s="78"/>
    </row>
    <row r="797" spans="2:6" ht="12.6" customHeight="1" x14ac:dyDescent="0.3">
      <c r="B797" s="78"/>
      <c r="C797" s="78"/>
      <c r="D797" s="78"/>
      <c r="E797" s="78"/>
      <c r="F797" s="78"/>
    </row>
    <row r="798" spans="2:6" ht="12.6" customHeight="1" x14ac:dyDescent="0.3">
      <c r="B798" s="78"/>
      <c r="C798" s="78"/>
      <c r="D798" s="78"/>
      <c r="E798" s="78"/>
      <c r="F798" s="78"/>
    </row>
    <row r="799" spans="2:6" ht="12.6" customHeight="1" x14ac:dyDescent="0.3">
      <c r="B799" s="78"/>
      <c r="C799" s="78"/>
      <c r="D799" s="78"/>
      <c r="E799" s="78"/>
      <c r="F799" s="78"/>
    </row>
    <row r="800" spans="2:6" ht="12.6" customHeight="1" x14ac:dyDescent="0.3">
      <c r="B800" s="78"/>
      <c r="C800" s="78"/>
      <c r="D800" s="78"/>
      <c r="E800" s="78"/>
      <c r="F800" s="78"/>
    </row>
    <row r="801" spans="2:6" ht="12.6" customHeight="1" x14ac:dyDescent="0.3">
      <c r="B801" s="78"/>
      <c r="C801" s="78"/>
      <c r="D801" s="78"/>
      <c r="E801" s="78"/>
      <c r="F801" s="78"/>
    </row>
    <row r="802" spans="2:6" ht="12.6" customHeight="1" x14ac:dyDescent="0.3">
      <c r="B802" s="78"/>
      <c r="C802" s="78"/>
      <c r="D802" s="78"/>
      <c r="E802" s="78"/>
      <c r="F802" s="78"/>
    </row>
    <row r="803" spans="2:6" ht="12.6" customHeight="1" x14ac:dyDescent="0.3">
      <c r="B803" s="78"/>
      <c r="C803" s="78"/>
      <c r="D803" s="78"/>
      <c r="E803" s="78"/>
      <c r="F803" s="78"/>
    </row>
    <row r="804" spans="2:6" ht="12.6" customHeight="1" x14ac:dyDescent="0.3">
      <c r="B804" s="78"/>
      <c r="C804" s="78"/>
      <c r="D804" s="78"/>
      <c r="E804" s="78"/>
      <c r="F804" s="78"/>
    </row>
    <row r="805" spans="2:6" ht="12.6" customHeight="1" x14ac:dyDescent="0.3">
      <c r="B805" s="78"/>
      <c r="C805" s="78"/>
      <c r="D805" s="78"/>
      <c r="E805" s="78"/>
      <c r="F805" s="78"/>
    </row>
    <row r="806" spans="2:6" ht="12.6" customHeight="1" x14ac:dyDescent="0.3">
      <c r="B806" s="78"/>
      <c r="C806" s="78"/>
      <c r="D806" s="78"/>
      <c r="E806" s="78"/>
      <c r="F806" s="78"/>
    </row>
    <row r="807" spans="2:6" ht="12.6" customHeight="1" x14ac:dyDescent="0.3">
      <c r="B807" s="78"/>
      <c r="C807" s="78"/>
      <c r="D807" s="78"/>
      <c r="E807" s="78"/>
      <c r="F807" s="78"/>
    </row>
    <row r="808" spans="2:6" ht="12.6" customHeight="1" x14ac:dyDescent="0.3">
      <c r="B808" s="78"/>
      <c r="C808" s="78"/>
      <c r="D808" s="78"/>
      <c r="E808" s="78"/>
      <c r="F808" s="78"/>
    </row>
    <row r="809" spans="2:6" ht="12.6" customHeight="1" x14ac:dyDescent="0.3">
      <c r="B809" s="78"/>
      <c r="C809" s="78"/>
      <c r="D809" s="78"/>
      <c r="E809" s="78"/>
      <c r="F809" s="78"/>
    </row>
    <row r="810" spans="2:6" ht="12.6" customHeight="1" x14ac:dyDescent="0.3">
      <c r="B810" s="78"/>
      <c r="C810" s="78"/>
      <c r="D810" s="78"/>
      <c r="E810" s="78"/>
      <c r="F810" s="78"/>
    </row>
    <row r="811" spans="2:6" ht="12.6" customHeight="1" x14ac:dyDescent="0.3">
      <c r="B811" s="78"/>
      <c r="C811" s="78"/>
      <c r="D811" s="78"/>
      <c r="E811" s="78"/>
      <c r="F811" s="78"/>
    </row>
    <row r="812" spans="2:6" ht="12.6" customHeight="1" x14ac:dyDescent="0.3">
      <c r="B812" s="78"/>
      <c r="C812" s="78"/>
      <c r="D812" s="78"/>
      <c r="E812" s="78"/>
      <c r="F812" s="78"/>
    </row>
    <row r="813" spans="2:6" ht="12.6" customHeight="1" x14ac:dyDescent="0.3">
      <c r="B813" s="78"/>
      <c r="C813" s="78"/>
      <c r="D813" s="78"/>
      <c r="E813" s="78"/>
      <c r="F813" s="78"/>
    </row>
    <row r="814" spans="2:6" ht="12.6" customHeight="1" x14ac:dyDescent="0.3">
      <c r="B814" s="78"/>
      <c r="C814" s="78"/>
      <c r="D814" s="78"/>
      <c r="E814" s="78"/>
      <c r="F814" s="78"/>
    </row>
    <row r="815" spans="2:6" ht="12.6" customHeight="1" x14ac:dyDescent="0.3">
      <c r="B815" s="78"/>
      <c r="C815" s="78"/>
      <c r="D815" s="78"/>
      <c r="E815" s="78"/>
      <c r="F815" s="78"/>
    </row>
    <row r="816" spans="2:6" ht="12.6" customHeight="1" x14ac:dyDescent="0.3">
      <c r="B816" s="78"/>
      <c r="C816" s="78"/>
      <c r="D816" s="78"/>
      <c r="E816" s="78"/>
      <c r="F816" s="78"/>
    </row>
    <row r="817" spans="2:6" ht="12.6" customHeight="1" x14ac:dyDescent="0.3">
      <c r="B817" s="78"/>
      <c r="C817" s="78"/>
      <c r="D817" s="78"/>
      <c r="E817" s="78"/>
      <c r="F817" s="78"/>
    </row>
    <row r="818" spans="2:6" ht="12.6" customHeight="1" x14ac:dyDescent="0.3">
      <c r="B818" s="78"/>
      <c r="C818" s="78"/>
      <c r="D818" s="78"/>
      <c r="E818" s="78"/>
      <c r="F818" s="78"/>
    </row>
    <row r="819" spans="2:6" ht="12.6" customHeight="1" x14ac:dyDescent="0.3">
      <c r="B819" s="78"/>
      <c r="C819" s="78"/>
      <c r="D819" s="78"/>
      <c r="E819" s="78"/>
      <c r="F819" s="78"/>
    </row>
    <row r="820" spans="2:6" ht="12.6" customHeight="1" x14ac:dyDescent="0.3">
      <c r="B820" s="78"/>
      <c r="C820" s="78"/>
      <c r="D820" s="78"/>
      <c r="E820" s="78"/>
      <c r="F820" s="78"/>
    </row>
    <row r="821" spans="2:6" ht="12.6" customHeight="1" x14ac:dyDescent="0.3">
      <c r="B821" s="78"/>
      <c r="C821" s="78"/>
      <c r="D821" s="78"/>
      <c r="E821" s="78"/>
      <c r="F821" s="78"/>
    </row>
    <row r="822" spans="2:6" ht="12.6" customHeight="1" x14ac:dyDescent="0.3">
      <c r="B822" s="78"/>
      <c r="C822" s="78"/>
      <c r="D822" s="78"/>
      <c r="E822" s="78"/>
      <c r="F822" s="78"/>
    </row>
    <row r="823" spans="2:6" ht="12.6" customHeight="1" x14ac:dyDescent="0.3">
      <c r="B823" s="78"/>
      <c r="C823" s="78"/>
      <c r="D823" s="78"/>
      <c r="E823" s="78"/>
      <c r="F823" s="78"/>
    </row>
    <row r="824" spans="2:6" ht="12.6" customHeight="1" x14ac:dyDescent="0.3">
      <c r="B824" s="78"/>
      <c r="C824" s="78"/>
      <c r="D824" s="78"/>
      <c r="E824" s="78"/>
      <c r="F824" s="78"/>
    </row>
    <row r="825" spans="2:6" ht="12.6" customHeight="1" x14ac:dyDescent="0.3">
      <c r="B825" s="78"/>
      <c r="C825" s="78"/>
      <c r="D825" s="78"/>
      <c r="E825" s="78"/>
      <c r="F825" s="78"/>
    </row>
    <row r="826" spans="2:6" ht="12.6" customHeight="1" x14ac:dyDescent="0.3">
      <c r="B826" s="78"/>
      <c r="C826" s="78"/>
      <c r="D826" s="78"/>
      <c r="E826" s="78"/>
      <c r="F826" s="78"/>
    </row>
    <row r="827" spans="2:6" ht="12.6" customHeight="1" x14ac:dyDescent="0.3">
      <c r="B827" s="78"/>
      <c r="C827" s="78"/>
      <c r="D827" s="78"/>
      <c r="E827" s="78"/>
      <c r="F827" s="78"/>
    </row>
    <row r="828" spans="2:6" ht="12.6" customHeight="1" x14ac:dyDescent="0.3">
      <c r="B828" s="78"/>
      <c r="C828" s="78"/>
      <c r="D828" s="78"/>
      <c r="E828" s="78"/>
      <c r="F828" s="78"/>
    </row>
    <row r="829" spans="2:6" ht="12.6" customHeight="1" x14ac:dyDescent="0.3">
      <c r="B829" s="78"/>
      <c r="C829" s="78"/>
      <c r="D829" s="78"/>
      <c r="E829" s="78"/>
      <c r="F829" s="78"/>
    </row>
    <row r="830" spans="2:6" ht="12.6" customHeight="1" x14ac:dyDescent="0.3">
      <c r="B830" s="78"/>
      <c r="C830" s="78"/>
      <c r="D830" s="78"/>
      <c r="E830" s="78"/>
      <c r="F830" s="78"/>
    </row>
    <row r="831" spans="2:6" ht="12.6" customHeight="1" x14ac:dyDescent="0.3">
      <c r="B831" s="78"/>
      <c r="C831" s="78"/>
      <c r="D831" s="78"/>
      <c r="E831" s="78"/>
      <c r="F831" s="78"/>
    </row>
    <row r="832" spans="2:6" ht="12.6" customHeight="1" x14ac:dyDescent="0.3">
      <c r="B832" s="78"/>
      <c r="C832" s="78"/>
      <c r="D832" s="78"/>
      <c r="E832" s="78"/>
      <c r="F832" s="78"/>
    </row>
    <row r="833" spans="2:6" ht="12.6" customHeight="1" x14ac:dyDescent="0.3">
      <c r="B833" s="78"/>
      <c r="C833" s="78"/>
      <c r="D833" s="78"/>
      <c r="E833" s="78"/>
      <c r="F833" s="78"/>
    </row>
    <row r="834" spans="2:6" ht="12.6" customHeight="1" x14ac:dyDescent="0.3">
      <c r="B834" s="78"/>
      <c r="C834" s="78"/>
      <c r="D834" s="78"/>
      <c r="E834" s="78"/>
      <c r="F834" s="78"/>
    </row>
    <row r="835" spans="2:6" ht="12.6" customHeight="1" x14ac:dyDescent="0.3">
      <c r="B835" s="78"/>
      <c r="C835" s="78"/>
      <c r="D835" s="78"/>
      <c r="E835" s="78"/>
      <c r="F835" s="78"/>
    </row>
    <row r="836" spans="2:6" ht="12.6" customHeight="1" x14ac:dyDescent="0.3">
      <c r="B836" s="78"/>
      <c r="C836" s="78"/>
      <c r="D836" s="78"/>
      <c r="E836" s="78"/>
      <c r="F836" s="78"/>
    </row>
    <row r="837" spans="2:6" ht="12.6" customHeight="1" x14ac:dyDescent="0.3">
      <c r="B837" s="78"/>
      <c r="C837" s="78"/>
      <c r="D837" s="78"/>
      <c r="E837" s="78"/>
      <c r="F837" s="78"/>
    </row>
    <row r="838" spans="2:6" ht="12.6" customHeight="1" x14ac:dyDescent="0.3">
      <c r="B838" s="78"/>
      <c r="C838" s="78"/>
      <c r="D838" s="78"/>
      <c r="E838" s="78"/>
      <c r="F838" s="78"/>
    </row>
    <row r="839" spans="2:6" ht="12.6" customHeight="1" x14ac:dyDescent="0.3">
      <c r="B839" s="78"/>
      <c r="C839" s="78"/>
      <c r="D839" s="78"/>
      <c r="E839" s="78"/>
      <c r="F839" s="78"/>
    </row>
    <row r="840" spans="2:6" ht="12.6" customHeight="1" x14ac:dyDescent="0.3">
      <c r="B840" s="78"/>
      <c r="C840" s="78"/>
      <c r="D840" s="78"/>
      <c r="E840" s="78"/>
      <c r="F840" s="78"/>
    </row>
    <row r="841" spans="2:6" ht="12.6" customHeight="1" x14ac:dyDescent="0.3">
      <c r="B841" s="78"/>
      <c r="C841" s="78"/>
      <c r="D841" s="78"/>
      <c r="E841" s="78"/>
      <c r="F841" s="78"/>
    </row>
    <row r="842" spans="2:6" ht="12.6" customHeight="1" x14ac:dyDescent="0.3">
      <c r="B842" s="78"/>
      <c r="C842" s="78"/>
      <c r="D842" s="78"/>
      <c r="E842" s="78"/>
      <c r="F842" s="78"/>
    </row>
    <row r="843" spans="2:6" ht="12.6" customHeight="1" x14ac:dyDescent="0.3">
      <c r="B843" s="78"/>
      <c r="C843" s="78"/>
      <c r="D843" s="78"/>
      <c r="E843" s="78"/>
      <c r="F843" s="78"/>
    </row>
    <row r="844" spans="2:6" ht="12.6" customHeight="1" x14ac:dyDescent="0.3">
      <c r="B844" s="78"/>
      <c r="C844" s="78"/>
      <c r="D844" s="78"/>
      <c r="E844" s="78"/>
      <c r="F844" s="78"/>
    </row>
    <row r="845" spans="2:6" ht="12.6" customHeight="1" x14ac:dyDescent="0.3">
      <c r="B845" s="78"/>
      <c r="C845" s="78"/>
      <c r="D845" s="78"/>
      <c r="E845" s="78"/>
      <c r="F845" s="78"/>
    </row>
    <row r="846" spans="2:6" ht="12.6" customHeight="1" x14ac:dyDescent="0.3">
      <c r="B846" s="78"/>
      <c r="C846" s="78"/>
      <c r="D846" s="78"/>
      <c r="E846" s="78"/>
      <c r="F846" s="78"/>
    </row>
    <row r="847" spans="2:6" ht="12.6" customHeight="1" x14ac:dyDescent="0.3">
      <c r="B847" s="78"/>
      <c r="C847" s="78"/>
      <c r="D847" s="78"/>
      <c r="E847" s="78"/>
      <c r="F847" s="78"/>
    </row>
    <row r="848" spans="2:6" ht="12.6" customHeight="1" x14ac:dyDescent="0.3">
      <c r="B848" s="78"/>
      <c r="C848" s="78"/>
      <c r="D848" s="78"/>
      <c r="E848" s="78"/>
      <c r="F848" s="78"/>
    </row>
    <row r="849" spans="2:6" ht="12.6" customHeight="1" x14ac:dyDescent="0.3">
      <c r="B849" s="78"/>
      <c r="C849" s="78"/>
      <c r="D849" s="78"/>
      <c r="E849" s="78"/>
      <c r="F849" s="78"/>
    </row>
    <row r="850" spans="2:6" ht="12.6" customHeight="1" x14ac:dyDescent="0.3">
      <c r="B850" s="78"/>
      <c r="C850" s="78"/>
      <c r="D850" s="78"/>
      <c r="E850" s="78"/>
      <c r="F850" s="78"/>
    </row>
    <row r="851" spans="2:6" ht="12.6" customHeight="1" x14ac:dyDescent="0.3">
      <c r="B851" s="78"/>
      <c r="C851" s="78"/>
      <c r="D851" s="78"/>
      <c r="E851" s="78"/>
      <c r="F851" s="78"/>
    </row>
    <row r="852" spans="2:6" ht="12.6" customHeight="1" x14ac:dyDescent="0.3">
      <c r="B852" s="78"/>
      <c r="C852" s="78"/>
      <c r="D852" s="78"/>
      <c r="E852" s="78"/>
      <c r="F852" s="78"/>
    </row>
    <row r="853" spans="2:6" ht="12.6" customHeight="1" x14ac:dyDescent="0.3">
      <c r="B853" s="78"/>
      <c r="C853" s="78"/>
      <c r="D853" s="78"/>
      <c r="E853" s="78"/>
      <c r="F853" s="78"/>
    </row>
    <row r="854" spans="2:6" ht="12.6" customHeight="1" x14ac:dyDescent="0.3">
      <c r="B854" s="78"/>
      <c r="C854" s="78"/>
      <c r="D854" s="78"/>
      <c r="E854" s="78"/>
      <c r="F854" s="78"/>
    </row>
    <row r="855" spans="2:6" ht="12.6" customHeight="1" x14ac:dyDescent="0.3">
      <c r="B855" s="78"/>
      <c r="C855" s="78"/>
      <c r="D855" s="78"/>
      <c r="E855" s="78"/>
      <c r="F855" s="78"/>
    </row>
    <row r="856" spans="2:6" ht="12.6" customHeight="1" x14ac:dyDescent="0.3">
      <c r="B856" s="78"/>
      <c r="C856" s="78"/>
      <c r="D856" s="78"/>
      <c r="E856" s="78"/>
      <c r="F856" s="78"/>
    </row>
    <row r="857" spans="2:6" ht="12.6" customHeight="1" x14ac:dyDescent="0.3">
      <c r="B857" s="78"/>
      <c r="C857" s="78"/>
      <c r="D857" s="78"/>
      <c r="E857" s="78"/>
      <c r="F857" s="78"/>
    </row>
    <row r="858" spans="2:6" ht="12.6" customHeight="1" x14ac:dyDescent="0.3">
      <c r="B858" s="78"/>
      <c r="C858" s="78"/>
      <c r="D858" s="78"/>
      <c r="E858" s="78"/>
      <c r="F858" s="78"/>
    </row>
    <row r="859" spans="2:6" ht="12.6" customHeight="1" x14ac:dyDescent="0.3">
      <c r="B859" s="78"/>
      <c r="C859" s="78"/>
      <c r="D859" s="78"/>
      <c r="E859" s="78"/>
      <c r="F859" s="78"/>
    </row>
    <row r="860" spans="2:6" ht="12.6" customHeight="1" x14ac:dyDescent="0.3">
      <c r="B860" s="78"/>
      <c r="C860" s="78"/>
      <c r="D860" s="78"/>
      <c r="E860" s="78"/>
      <c r="F860" s="78"/>
    </row>
    <row r="861" spans="2:6" ht="12.6" customHeight="1" x14ac:dyDescent="0.3">
      <c r="B861" s="78"/>
      <c r="C861" s="78"/>
      <c r="D861" s="78"/>
      <c r="E861" s="78"/>
      <c r="F861" s="78"/>
    </row>
    <row r="862" spans="2:6" ht="12.6" customHeight="1" x14ac:dyDescent="0.3">
      <c r="B862" s="78"/>
      <c r="C862" s="78"/>
      <c r="D862" s="78"/>
      <c r="E862" s="78"/>
      <c r="F862" s="78"/>
    </row>
    <row r="863" spans="2:6" ht="12.6" customHeight="1" x14ac:dyDescent="0.3">
      <c r="B863" s="78"/>
      <c r="C863" s="78"/>
      <c r="D863" s="78"/>
      <c r="E863" s="78"/>
      <c r="F863" s="78"/>
    </row>
    <row r="864" spans="2:6" ht="12.6" customHeight="1" x14ac:dyDescent="0.3">
      <c r="B864" s="78"/>
      <c r="C864" s="78"/>
      <c r="D864" s="78"/>
      <c r="E864" s="78"/>
      <c r="F864" s="78"/>
    </row>
    <row r="865" spans="2:6" ht="12.6" customHeight="1" x14ac:dyDescent="0.3">
      <c r="B865" s="78"/>
      <c r="C865" s="78"/>
      <c r="D865" s="78"/>
      <c r="E865" s="78"/>
      <c r="F865" s="78"/>
    </row>
    <row r="866" spans="2:6" ht="12.6" customHeight="1" x14ac:dyDescent="0.3">
      <c r="B866" s="78"/>
      <c r="C866" s="78"/>
      <c r="D866" s="78"/>
      <c r="E866" s="78"/>
      <c r="F866" s="78"/>
    </row>
    <row r="867" spans="2:6" ht="12.6" customHeight="1" x14ac:dyDescent="0.3">
      <c r="B867" s="78"/>
      <c r="C867" s="78"/>
      <c r="D867" s="78"/>
      <c r="E867" s="78"/>
      <c r="F867" s="78"/>
    </row>
    <row r="868" spans="2:6" ht="12.6" customHeight="1" x14ac:dyDescent="0.3">
      <c r="B868" s="78"/>
      <c r="C868" s="78"/>
      <c r="D868" s="78"/>
      <c r="E868" s="78"/>
      <c r="F868" s="78"/>
    </row>
    <row r="869" spans="2:6" ht="12.6" customHeight="1" x14ac:dyDescent="0.3">
      <c r="B869" s="78"/>
      <c r="C869" s="78"/>
      <c r="D869" s="78"/>
      <c r="E869" s="78"/>
      <c r="F869" s="78"/>
    </row>
    <row r="870" spans="2:6" ht="12.6" customHeight="1" x14ac:dyDescent="0.3">
      <c r="B870" s="78"/>
      <c r="C870" s="78"/>
      <c r="D870" s="78"/>
      <c r="E870" s="78"/>
      <c r="F870" s="78"/>
    </row>
    <row r="871" spans="2:6" ht="12.6" customHeight="1" x14ac:dyDescent="0.3">
      <c r="B871" s="78"/>
      <c r="C871" s="78"/>
      <c r="D871" s="78"/>
      <c r="E871" s="78"/>
      <c r="F871" s="78"/>
    </row>
    <row r="872" spans="2:6" ht="12.6" customHeight="1" x14ac:dyDescent="0.3">
      <c r="B872" s="78"/>
      <c r="C872" s="78"/>
      <c r="D872" s="78"/>
      <c r="E872" s="78"/>
      <c r="F872" s="78"/>
    </row>
    <row r="873" spans="2:6" ht="12.6" customHeight="1" x14ac:dyDescent="0.3">
      <c r="B873" s="78"/>
      <c r="C873" s="78"/>
      <c r="D873" s="78"/>
      <c r="E873" s="78"/>
      <c r="F873" s="78"/>
    </row>
    <row r="874" spans="2:6" ht="12.6" customHeight="1" x14ac:dyDescent="0.3">
      <c r="B874" s="78"/>
      <c r="C874" s="78"/>
      <c r="D874" s="78"/>
      <c r="E874" s="78"/>
      <c r="F874" s="78"/>
    </row>
    <row r="875" spans="2:6" ht="12.6" customHeight="1" x14ac:dyDescent="0.3">
      <c r="B875" s="78"/>
      <c r="C875" s="78"/>
      <c r="D875" s="78"/>
      <c r="E875" s="78"/>
      <c r="F875" s="78"/>
    </row>
    <row r="876" spans="2:6" ht="12.6" customHeight="1" x14ac:dyDescent="0.3">
      <c r="B876" s="78"/>
      <c r="C876" s="78"/>
      <c r="D876" s="78"/>
      <c r="E876" s="78"/>
      <c r="F876" s="78"/>
    </row>
    <row r="877" spans="2:6" ht="12.6" customHeight="1" x14ac:dyDescent="0.3">
      <c r="B877" s="78"/>
      <c r="C877" s="78"/>
      <c r="D877" s="78"/>
      <c r="E877" s="78"/>
      <c r="F877" s="78"/>
    </row>
    <row r="878" spans="2:6" ht="12.6" customHeight="1" x14ac:dyDescent="0.3">
      <c r="B878" s="78"/>
      <c r="C878" s="78"/>
      <c r="D878" s="78"/>
      <c r="E878" s="78"/>
      <c r="F878" s="78"/>
    </row>
    <row r="879" spans="2:6" ht="12.6" customHeight="1" x14ac:dyDescent="0.3">
      <c r="B879" s="78"/>
      <c r="C879" s="78"/>
      <c r="D879" s="78"/>
      <c r="E879" s="78"/>
      <c r="F879" s="78"/>
    </row>
    <row r="880" spans="2:6" ht="12.6" customHeight="1" x14ac:dyDescent="0.3">
      <c r="B880" s="78"/>
      <c r="C880" s="78"/>
      <c r="D880" s="78"/>
      <c r="E880" s="78"/>
      <c r="F880" s="78"/>
    </row>
    <row r="881" spans="2:6" ht="12.6" customHeight="1" x14ac:dyDescent="0.3">
      <c r="B881" s="78"/>
      <c r="C881" s="78"/>
      <c r="D881" s="78"/>
      <c r="E881" s="78"/>
      <c r="F881" s="78"/>
    </row>
    <row r="882" spans="2:6" ht="12.6" customHeight="1" x14ac:dyDescent="0.3">
      <c r="B882" s="78"/>
      <c r="C882" s="78"/>
      <c r="D882" s="78"/>
      <c r="E882" s="78"/>
      <c r="F882" s="78"/>
    </row>
    <row r="883" spans="2:6" ht="12.6" customHeight="1" x14ac:dyDescent="0.3">
      <c r="B883" s="78"/>
      <c r="C883" s="78"/>
      <c r="D883" s="78"/>
      <c r="E883" s="78"/>
      <c r="F883" s="78"/>
    </row>
    <row r="884" spans="2:6" ht="12.6" customHeight="1" x14ac:dyDescent="0.3">
      <c r="B884" s="78"/>
      <c r="C884" s="78"/>
      <c r="D884" s="78"/>
      <c r="E884" s="78"/>
      <c r="F884" s="78"/>
    </row>
    <row r="885" spans="2:6" ht="12.6" customHeight="1" x14ac:dyDescent="0.3">
      <c r="B885" s="78"/>
      <c r="C885" s="78"/>
      <c r="D885" s="78"/>
      <c r="E885" s="78"/>
      <c r="F885" s="78"/>
    </row>
    <row r="886" spans="2:6" ht="12.6" customHeight="1" x14ac:dyDescent="0.3">
      <c r="B886" s="78"/>
      <c r="C886" s="78"/>
      <c r="D886" s="78"/>
      <c r="E886" s="78"/>
      <c r="F886" s="78"/>
    </row>
    <row r="887" spans="2:6" ht="12.6" customHeight="1" x14ac:dyDescent="0.3">
      <c r="B887" s="78"/>
      <c r="C887" s="78"/>
      <c r="D887" s="78"/>
      <c r="E887" s="78"/>
      <c r="F887" s="78"/>
    </row>
    <row r="888" spans="2:6" ht="12.6" customHeight="1" x14ac:dyDescent="0.3">
      <c r="B888" s="78"/>
      <c r="C888" s="78"/>
      <c r="D888" s="78"/>
      <c r="E888" s="78"/>
      <c r="F888" s="78"/>
    </row>
    <row r="889" spans="2:6" ht="12.6" customHeight="1" x14ac:dyDescent="0.3">
      <c r="B889" s="78"/>
      <c r="C889" s="78"/>
      <c r="D889" s="78"/>
      <c r="E889" s="78"/>
      <c r="F889" s="78"/>
    </row>
    <row r="890" spans="2:6" ht="12.6" customHeight="1" x14ac:dyDescent="0.3">
      <c r="B890" s="78"/>
      <c r="C890" s="78"/>
      <c r="D890" s="78"/>
      <c r="E890" s="78"/>
      <c r="F890" s="78"/>
    </row>
    <row r="891" spans="2:6" ht="12.6" customHeight="1" x14ac:dyDescent="0.3">
      <c r="B891" s="78"/>
      <c r="C891" s="78"/>
      <c r="D891" s="78"/>
      <c r="E891" s="78"/>
      <c r="F891" s="78"/>
    </row>
    <row r="892" spans="2:6" ht="12.6" customHeight="1" x14ac:dyDescent="0.3">
      <c r="B892" s="78"/>
      <c r="C892" s="78"/>
      <c r="D892" s="78"/>
      <c r="E892" s="78"/>
      <c r="F892" s="78"/>
    </row>
    <row r="893" spans="2:6" ht="12.6" customHeight="1" x14ac:dyDescent="0.3">
      <c r="B893" s="78"/>
      <c r="C893" s="78"/>
      <c r="D893" s="78"/>
      <c r="E893" s="78"/>
      <c r="F893" s="78"/>
    </row>
    <row r="894" spans="2:6" ht="12.6" customHeight="1" x14ac:dyDescent="0.3">
      <c r="B894" s="78"/>
      <c r="C894" s="78"/>
      <c r="D894" s="78"/>
      <c r="E894" s="78"/>
      <c r="F894" s="78"/>
    </row>
    <row r="895" spans="2:6" ht="12.6" customHeight="1" x14ac:dyDescent="0.3">
      <c r="B895" s="78"/>
      <c r="C895" s="78"/>
      <c r="D895" s="78"/>
      <c r="E895" s="78"/>
      <c r="F895" s="78"/>
    </row>
    <row r="896" spans="2:6" ht="12.6" customHeight="1" x14ac:dyDescent="0.3">
      <c r="B896" s="78"/>
      <c r="C896" s="78"/>
      <c r="D896" s="78"/>
      <c r="E896" s="78"/>
      <c r="F896" s="78"/>
    </row>
    <row r="897" spans="2:6" ht="12.6" customHeight="1" x14ac:dyDescent="0.3">
      <c r="B897" s="78"/>
      <c r="C897" s="78"/>
      <c r="D897" s="78"/>
      <c r="E897" s="78"/>
      <c r="F897" s="78"/>
    </row>
    <row r="898" spans="2:6" ht="12.6" customHeight="1" x14ac:dyDescent="0.3">
      <c r="B898" s="78"/>
      <c r="C898" s="78"/>
      <c r="D898" s="78"/>
      <c r="E898" s="78"/>
      <c r="F898" s="78"/>
    </row>
    <row r="899" spans="2:6" ht="12.6" customHeight="1" x14ac:dyDescent="0.3">
      <c r="B899" s="78"/>
      <c r="C899" s="78"/>
      <c r="D899" s="78"/>
      <c r="E899" s="78"/>
      <c r="F899" s="78"/>
    </row>
    <row r="900" spans="2:6" ht="12.6" customHeight="1" x14ac:dyDescent="0.3">
      <c r="B900" s="78"/>
      <c r="C900" s="78"/>
      <c r="D900" s="78"/>
      <c r="E900" s="78"/>
      <c r="F900" s="78"/>
    </row>
    <row r="901" spans="2:6" ht="12.6" customHeight="1" x14ac:dyDescent="0.3">
      <c r="B901" s="78"/>
      <c r="C901" s="78"/>
      <c r="D901" s="78"/>
      <c r="E901" s="78"/>
      <c r="F901" s="78"/>
    </row>
    <row r="902" spans="2:6" ht="12.6" customHeight="1" x14ac:dyDescent="0.3">
      <c r="B902" s="78"/>
      <c r="C902" s="78"/>
      <c r="D902" s="78"/>
      <c r="E902" s="78"/>
      <c r="F902" s="78"/>
    </row>
    <row r="903" spans="2:6" ht="12.6" customHeight="1" x14ac:dyDescent="0.3">
      <c r="B903" s="78"/>
      <c r="C903" s="78"/>
      <c r="D903" s="78"/>
      <c r="E903" s="78"/>
      <c r="F903" s="78"/>
    </row>
    <row r="904" spans="2:6" ht="12.6" customHeight="1" x14ac:dyDescent="0.3">
      <c r="B904" s="78"/>
      <c r="C904" s="78"/>
      <c r="D904" s="78"/>
      <c r="E904" s="78"/>
      <c r="F904" s="78"/>
    </row>
    <row r="905" spans="2:6" ht="12.6" customHeight="1" x14ac:dyDescent="0.3">
      <c r="B905" s="78"/>
      <c r="C905" s="78"/>
      <c r="D905" s="78"/>
      <c r="E905" s="78"/>
      <c r="F905" s="78"/>
    </row>
    <row r="906" spans="2:6" ht="12.6" customHeight="1" x14ac:dyDescent="0.3">
      <c r="B906" s="78"/>
      <c r="C906" s="78"/>
      <c r="D906" s="78"/>
      <c r="E906" s="78"/>
      <c r="F906" s="78"/>
    </row>
    <row r="907" spans="2:6" ht="12.6" customHeight="1" x14ac:dyDescent="0.3">
      <c r="B907" s="78"/>
      <c r="C907" s="78"/>
      <c r="D907" s="78"/>
      <c r="E907" s="78"/>
      <c r="F907" s="78"/>
    </row>
    <row r="908" spans="2:6" ht="12.6" customHeight="1" x14ac:dyDescent="0.3">
      <c r="B908" s="78"/>
      <c r="C908" s="78"/>
      <c r="D908" s="78"/>
      <c r="E908" s="78"/>
      <c r="F908" s="78"/>
    </row>
    <row r="909" spans="2:6" ht="12.6" customHeight="1" x14ac:dyDescent="0.3">
      <c r="B909" s="78"/>
      <c r="C909" s="78"/>
      <c r="D909" s="78"/>
      <c r="E909" s="78"/>
      <c r="F909" s="78"/>
    </row>
    <row r="910" spans="2:6" ht="12.6" customHeight="1" x14ac:dyDescent="0.3">
      <c r="B910" s="78"/>
      <c r="C910" s="78"/>
      <c r="D910" s="78"/>
      <c r="E910" s="78"/>
      <c r="F910" s="78"/>
    </row>
    <row r="911" spans="2:6" ht="12.6" customHeight="1" x14ac:dyDescent="0.3">
      <c r="B911" s="78"/>
      <c r="C911" s="78"/>
      <c r="D911" s="78"/>
      <c r="E911" s="78"/>
      <c r="F911" s="78"/>
    </row>
    <row r="912" spans="2:6" ht="12.6" customHeight="1" x14ac:dyDescent="0.3">
      <c r="B912" s="78"/>
      <c r="C912" s="78"/>
      <c r="D912" s="78"/>
      <c r="E912" s="78"/>
      <c r="F912" s="78"/>
    </row>
    <row r="913" spans="2:6" ht="12.6" customHeight="1" x14ac:dyDescent="0.3">
      <c r="B913" s="78"/>
      <c r="C913" s="78"/>
      <c r="D913" s="78"/>
      <c r="E913" s="78"/>
      <c r="F913" s="78"/>
    </row>
    <row r="914" spans="2:6" ht="12.6" customHeight="1" x14ac:dyDescent="0.3">
      <c r="B914" s="78"/>
      <c r="C914" s="78"/>
      <c r="D914" s="78"/>
      <c r="E914" s="78"/>
      <c r="F914" s="78"/>
    </row>
    <row r="915" spans="2:6" ht="12.6" customHeight="1" x14ac:dyDescent="0.3">
      <c r="B915" s="78"/>
      <c r="C915" s="78"/>
      <c r="D915" s="78"/>
      <c r="E915" s="78"/>
      <c r="F915" s="78"/>
    </row>
    <row r="916" spans="2:6" ht="12.6" customHeight="1" x14ac:dyDescent="0.3">
      <c r="B916" s="78"/>
      <c r="C916" s="78"/>
      <c r="D916" s="78"/>
      <c r="E916" s="78"/>
      <c r="F916" s="78"/>
    </row>
    <row r="917" spans="2:6" ht="12.6" customHeight="1" x14ac:dyDescent="0.3">
      <c r="B917" s="78"/>
      <c r="C917" s="78"/>
      <c r="D917" s="78"/>
      <c r="E917" s="78"/>
      <c r="F917" s="78"/>
    </row>
    <row r="918" spans="2:6" ht="12.6" customHeight="1" x14ac:dyDescent="0.3">
      <c r="B918" s="78"/>
      <c r="C918" s="78"/>
      <c r="D918" s="78"/>
      <c r="E918" s="78"/>
      <c r="F918" s="78"/>
    </row>
    <row r="919" spans="2:6" ht="12.6" customHeight="1" x14ac:dyDescent="0.3">
      <c r="B919" s="78"/>
      <c r="C919" s="78"/>
      <c r="D919" s="78"/>
      <c r="E919" s="78"/>
      <c r="F919" s="78"/>
    </row>
    <row r="920" spans="2:6" ht="12.6" customHeight="1" x14ac:dyDescent="0.3">
      <c r="B920" s="78"/>
      <c r="C920" s="78"/>
      <c r="D920" s="78"/>
      <c r="E920" s="78"/>
      <c r="F920" s="78"/>
    </row>
    <row r="921" spans="2:6" ht="12.6" customHeight="1" x14ac:dyDescent="0.3">
      <c r="B921" s="78"/>
      <c r="C921" s="78"/>
      <c r="D921" s="78"/>
      <c r="E921" s="78"/>
      <c r="F921" s="78"/>
    </row>
    <row r="922" spans="2:6" ht="12.6" customHeight="1" x14ac:dyDescent="0.3">
      <c r="B922" s="78"/>
      <c r="C922" s="78"/>
      <c r="D922" s="78"/>
      <c r="E922" s="78"/>
      <c r="F922" s="78"/>
    </row>
    <row r="923" spans="2:6" ht="12.6" customHeight="1" x14ac:dyDescent="0.3">
      <c r="B923" s="78"/>
      <c r="C923" s="78"/>
      <c r="D923" s="78"/>
      <c r="E923" s="78"/>
      <c r="F923" s="78"/>
    </row>
    <row r="924" spans="2:6" ht="12.6" customHeight="1" x14ac:dyDescent="0.3">
      <c r="B924" s="78"/>
      <c r="C924" s="78"/>
      <c r="D924" s="78"/>
      <c r="E924" s="78"/>
      <c r="F924" s="78"/>
    </row>
    <row r="925" spans="2:6" ht="12.6" customHeight="1" x14ac:dyDescent="0.3">
      <c r="B925" s="78"/>
      <c r="C925" s="78"/>
      <c r="D925" s="78"/>
      <c r="E925" s="78"/>
      <c r="F925" s="78"/>
    </row>
    <row r="926" spans="2:6" ht="12.6" customHeight="1" x14ac:dyDescent="0.3">
      <c r="B926" s="78"/>
      <c r="C926" s="78"/>
      <c r="D926" s="78"/>
      <c r="E926" s="78"/>
      <c r="F926" s="78"/>
    </row>
    <row r="927" spans="2:6" ht="12.6" customHeight="1" x14ac:dyDescent="0.3">
      <c r="B927" s="78"/>
      <c r="C927" s="78"/>
      <c r="D927" s="78"/>
      <c r="E927" s="78"/>
      <c r="F927" s="78"/>
    </row>
    <row r="928" spans="2:6" ht="12.6" customHeight="1" x14ac:dyDescent="0.3">
      <c r="B928" s="78"/>
      <c r="C928" s="78"/>
      <c r="D928" s="78"/>
      <c r="E928" s="78"/>
      <c r="F928" s="78"/>
    </row>
    <row r="929" spans="2:6" ht="12.6" customHeight="1" x14ac:dyDescent="0.3">
      <c r="B929" s="78"/>
      <c r="C929" s="78"/>
      <c r="D929" s="78"/>
      <c r="E929" s="78"/>
      <c r="F929" s="78"/>
    </row>
    <row r="930" spans="2:6" ht="12.6" customHeight="1" x14ac:dyDescent="0.3">
      <c r="B930" s="78"/>
      <c r="C930" s="78"/>
      <c r="D930" s="78"/>
      <c r="E930" s="78"/>
      <c r="F930" s="78"/>
    </row>
    <row r="931" spans="2:6" ht="12.6" customHeight="1" x14ac:dyDescent="0.3">
      <c r="B931" s="78"/>
      <c r="C931" s="78"/>
      <c r="D931" s="78"/>
      <c r="E931" s="78"/>
      <c r="F931" s="78"/>
    </row>
    <row r="932" spans="2:6" ht="12.6" customHeight="1" x14ac:dyDescent="0.3">
      <c r="B932" s="78"/>
      <c r="C932" s="78"/>
      <c r="D932" s="78"/>
      <c r="E932" s="78"/>
      <c r="F932" s="78"/>
    </row>
    <row r="933" spans="2:6" ht="12.6" customHeight="1" x14ac:dyDescent="0.3">
      <c r="B933" s="78"/>
      <c r="C933" s="78"/>
      <c r="D933" s="78"/>
      <c r="E933" s="78"/>
      <c r="F933" s="78"/>
    </row>
    <row r="934" spans="2:6" ht="12.6" customHeight="1" x14ac:dyDescent="0.3">
      <c r="B934" s="78"/>
      <c r="C934" s="78"/>
      <c r="D934" s="78"/>
      <c r="E934" s="78"/>
      <c r="F934" s="78"/>
    </row>
    <row r="935" spans="2:6" ht="12.6" customHeight="1" x14ac:dyDescent="0.3">
      <c r="B935" s="78"/>
      <c r="C935" s="78"/>
      <c r="D935" s="78"/>
      <c r="E935" s="78"/>
      <c r="F935" s="78"/>
    </row>
    <row r="936" spans="2:6" ht="12.6" customHeight="1" x14ac:dyDescent="0.3">
      <c r="B936" s="78"/>
      <c r="C936" s="78"/>
      <c r="D936" s="78"/>
      <c r="E936" s="78"/>
      <c r="F936" s="78"/>
    </row>
    <row r="937" spans="2:6" ht="12.6" customHeight="1" x14ac:dyDescent="0.3">
      <c r="B937" s="78"/>
      <c r="C937" s="78"/>
      <c r="D937" s="78"/>
      <c r="E937" s="78"/>
      <c r="F937" s="78"/>
    </row>
    <row r="938" spans="2:6" ht="12.6" customHeight="1" x14ac:dyDescent="0.3">
      <c r="B938" s="78"/>
      <c r="C938" s="78"/>
      <c r="D938" s="78"/>
      <c r="E938" s="78"/>
      <c r="F938" s="78"/>
    </row>
    <row r="939" spans="2:6" ht="12.6" customHeight="1" x14ac:dyDescent="0.3">
      <c r="B939" s="78"/>
      <c r="C939" s="78"/>
      <c r="D939" s="78"/>
      <c r="E939" s="78"/>
      <c r="F939" s="78"/>
    </row>
    <row r="940" spans="2:6" ht="12.6" customHeight="1" x14ac:dyDescent="0.3">
      <c r="B940" s="78"/>
      <c r="C940" s="78"/>
      <c r="D940" s="78"/>
      <c r="E940" s="78"/>
      <c r="F940" s="78"/>
    </row>
    <row r="941" spans="2:6" ht="12.6" customHeight="1" x14ac:dyDescent="0.3">
      <c r="B941" s="78"/>
      <c r="C941" s="78"/>
      <c r="D941" s="78"/>
      <c r="E941" s="78"/>
      <c r="F941" s="78"/>
    </row>
    <row r="942" spans="2:6" ht="12.6" customHeight="1" x14ac:dyDescent="0.3">
      <c r="B942" s="78"/>
      <c r="C942" s="78"/>
      <c r="D942" s="78"/>
      <c r="E942" s="78"/>
      <c r="F942" s="78"/>
    </row>
    <row r="943" spans="2:6" ht="12.6" customHeight="1" x14ac:dyDescent="0.3">
      <c r="B943" s="78"/>
      <c r="C943" s="78"/>
      <c r="D943" s="78"/>
      <c r="E943" s="78"/>
      <c r="F943" s="78"/>
    </row>
    <row r="944" spans="2:6" ht="12.6" customHeight="1" x14ac:dyDescent="0.3">
      <c r="B944" s="78"/>
      <c r="C944" s="78"/>
      <c r="D944" s="78"/>
      <c r="E944" s="78"/>
      <c r="F944" s="78"/>
    </row>
    <row r="945" spans="2:6" ht="12.6" customHeight="1" x14ac:dyDescent="0.3">
      <c r="B945" s="78"/>
      <c r="C945" s="78"/>
      <c r="D945" s="78"/>
      <c r="E945" s="78"/>
      <c r="F945" s="78"/>
    </row>
    <row r="946" spans="2:6" ht="12.6" customHeight="1" x14ac:dyDescent="0.3">
      <c r="B946" s="78"/>
      <c r="C946" s="78"/>
      <c r="D946" s="78"/>
      <c r="E946" s="78"/>
      <c r="F946" s="78"/>
    </row>
    <row r="947" spans="2:6" ht="12.6" customHeight="1" x14ac:dyDescent="0.3">
      <c r="B947" s="78"/>
      <c r="C947" s="78"/>
      <c r="D947" s="78"/>
      <c r="E947" s="78"/>
      <c r="F947" s="78"/>
    </row>
    <row r="948" spans="2:6" ht="12.6" customHeight="1" x14ac:dyDescent="0.3">
      <c r="B948" s="78"/>
      <c r="C948" s="78"/>
      <c r="D948" s="78"/>
      <c r="E948" s="78"/>
      <c r="F948" s="78"/>
    </row>
    <row r="949" spans="2:6" ht="12.6" customHeight="1" x14ac:dyDescent="0.3">
      <c r="B949" s="78"/>
      <c r="C949" s="78"/>
      <c r="D949" s="78"/>
      <c r="E949" s="78"/>
      <c r="F949" s="78"/>
    </row>
    <row r="950" spans="2:6" ht="12.6" customHeight="1" x14ac:dyDescent="0.3">
      <c r="B950" s="78"/>
      <c r="C950" s="78"/>
      <c r="D950" s="78"/>
      <c r="E950" s="78"/>
      <c r="F950" s="78"/>
    </row>
    <row r="951" spans="2:6" ht="12.6" customHeight="1" x14ac:dyDescent="0.3">
      <c r="B951" s="78"/>
      <c r="C951" s="78"/>
      <c r="D951" s="78"/>
      <c r="E951" s="78"/>
      <c r="F951" s="78"/>
    </row>
    <row r="952" spans="2:6" ht="12.6" customHeight="1" x14ac:dyDescent="0.3">
      <c r="B952" s="78"/>
      <c r="C952" s="78"/>
      <c r="D952" s="78"/>
      <c r="E952" s="78"/>
      <c r="F952" s="78"/>
    </row>
    <row r="953" spans="2:6" ht="12.6" customHeight="1" x14ac:dyDescent="0.3">
      <c r="B953" s="78"/>
      <c r="C953" s="78"/>
      <c r="D953" s="78"/>
      <c r="E953" s="78"/>
      <c r="F953" s="78"/>
    </row>
    <row r="954" spans="2:6" ht="12.6" customHeight="1" x14ac:dyDescent="0.3">
      <c r="B954" s="78"/>
      <c r="C954" s="78"/>
      <c r="D954" s="78"/>
      <c r="E954" s="78"/>
      <c r="F954" s="78"/>
    </row>
    <row r="955" spans="2:6" ht="12.6" customHeight="1" x14ac:dyDescent="0.3">
      <c r="B955" s="78"/>
      <c r="C955" s="78"/>
      <c r="D955" s="78"/>
      <c r="E955" s="78"/>
      <c r="F955" s="78"/>
    </row>
    <row r="956" spans="2:6" ht="12.6" customHeight="1" x14ac:dyDescent="0.3">
      <c r="B956" s="78"/>
      <c r="C956" s="78"/>
      <c r="D956" s="78"/>
      <c r="E956" s="78"/>
      <c r="F956" s="78"/>
    </row>
    <row r="957" spans="2:6" ht="12.6" customHeight="1" x14ac:dyDescent="0.3">
      <c r="B957" s="78"/>
      <c r="C957" s="78"/>
      <c r="D957" s="78"/>
      <c r="E957" s="78"/>
      <c r="F957" s="78"/>
    </row>
    <row r="958" spans="2:6" ht="12.6" customHeight="1" x14ac:dyDescent="0.3">
      <c r="B958" s="78"/>
      <c r="C958" s="78"/>
      <c r="D958" s="78"/>
      <c r="E958" s="78"/>
      <c r="F958" s="78"/>
    </row>
    <row r="959" spans="2:6" ht="12.6" customHeight="1" x14ac:dyDescent="0.3">
      <c r="B959" s="78"/>
      <c r="C959" s="78"/>
      <c r="D959" s="78"/>
      <c r="E959" s="78"/>
      <c r="F959" s="78"/>
    </row>
    <row r="960" spans="2:6" ht="12.6" customHeight="1" x14ac:dyDescent="0.3">
      <c r="B960" s="78"/>
      <c r="C960" s="78"/>
      <c r="D960" s="78"/>
      <c r="E960" s="78"/>
      <c r="F960" s="78"/>
    </row>
    <row r="961" spans="2:6" ht="12.6" customHeight="1" x14ac:dyDescent="0.3">
      <c r="B961" s="78"/>
      <c r="C961" s="78"/>
      <c r="D961" s="78"/>
      <c r="E961" s="78"/>
      <c r="F961" s="78"/>
    </row>
    <row r="962" spans="2:6" ht="12.6" customHeight="1" x14ac:dyDescent="0.3">
      <c r="B962" s="78"/>
      <c r="C962" s="78"/>
      <c r="D962" s="78"/>
      <c r="E962" s="78"/>
      <c r="F962" s="78"/>
    </row>
    <row r="963" spans="2:6" ht="12.6" customHeight="1" x14ac:dyDescent="0.3">
      <c r="B963" s="78"/>
      <c r="C963" s="78"/>
      <c r="D963" s="78"/>
      <c r="E963" s="78"/>
      <c r="F963" s="78"/>
    </row>
    <row r="964" spans="2:6" ht="12.6" customHeight="1" x14ac:dyDescent="0.3">
      <c r="B964" s="78"/>
      <c r="C964" s="78"/>
      <c r="D964" s="78"/>
      <c r="E964" s="78"/>
      <c r="F964" s="78"/>
    </row>
  </sheetData>
  <phoneticPr fontId="0" type="noConversion"/>
  <printOptions gridLines="1"/>
  <pageMargins left="0.67" right="0.17" top="0.75" bottom="0.56000000000000005" header="0.25" footer="0.28999999999999998"/>
  <pageSetup orientation="landscape" r:id="rId1"/>
  <headerFooter alignWithMargins="0">
    <oddHeader xml:space="preserve">&amp;CJames Irwin Charter Middle School
2017-2018 Apr Budget Draft March 21, 2017
</oddHeader>
    <oddFooter>&amp;L&amp;D&amp;T&amp;R&amp;P</oddFooter>
  </headerFooter>
  <rowBreaks count="3" manualBreakCount="3">
    <brk id="77" max="16383" man="1"/>
    <brk id="113" max="16383" man="1"/>
    <brk id="14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14"/>
  <sheetViews>
    <sheetView zoomScaleNormal="100" workbookViewId="0">
      <pane ySplit="4" topLeftCell="A143" activePane="bottomLeft" state="frozen"/>
      <selection pane="bottomLeft" activeCell="B1" sqref="B1:B65536"/>
    </sheetView>
  </sheetViews>
  <sheetFormatPr defaultColWidth="9.109375" defaultRowHeight="12.6" customHeight="1" x14ac:dyDescent="0.3"/>
  <cols>
    <col min="1" max="1" width="37.109375" style="102" customWidth="1"/>
    <col min="2" max="2" width="15.6640625" style="102" customWidth="1"/>
    <col min="3" max="3" width="14.5546875" style="102" customWidth="1"/>
    <col min="4" max="4" width="13.5546875" style="102" customWidth="1"/>
    <col min="5" max="5" width="15.6640625" style="102" hidden="1" customWidth="1"/>
    <col min="6" max="6" width="11.33203125" style="102" hidden="1" customWidth="1"/>
    <col min="7" max="7" width="22.33203125" style="79" customWidth="1"/>
    <col min="8" max="8" width="20.5546875" style="78" customWidth="1"/>
    <col min="9" max="9" width="14" style="78" customWidth="1"/>
    <col min="10" max="28" width="9.109375" style="78"/>
    <col min="29" max="16384" width="9.109375" style="102"/>
  </cols>
  <sheetData>
    <row r="1" spans="1:28" s="46" customFormat="1" ht="12.6" customHeight="1" x14ac:dyDescent="0.3">
      <c r="A1" s="71" t="s">
        <v>251</v>
      </c>
      <c r="B1" s="151">
        <v>428</v>
      </c>
      <c r="C1" s="151">
        <v>427.5</v>
      </c>
      <c r="D1" s="151" t="s">
        <v>269</v>
      </c>
      <c r="E1" s="151">
        <v>421</v>
      </c>
      <c r="F1" s="151">
        <v>421</v>
      </c>
      <c r="G1" s="203" t="s">
        <v>450</v>
      </c>
    </row>
    <row r="2" spans="1:28" s="46" customFormat="1" ht="12.6" customHeight="1" x14ac:dyDescent="0.3">
      <c r="A2" s="70" t="s">
        <v>252</v>
      </c>
      <c r="B2" s="48">
        <f>C2*1.02</f>
        <v>7745.2781999999997</v>
      </c>
      <c r="C2" s="48">
        <v>7593.41</v>
      </c>
      <c r="D2" s="48">
        <f>7398.46+116.75</f>
        <v>7515.21</v>
      </c>
      <c r="E2" s="48">
        <v>7356.01</v>
      </c>
      <c r="F2" s="48">
        <v>7356.01</v>
      </c>
      <c r="G2" s="182" t="s">
        <v>447</v>
      </c>
    </row>
    <row r="3" spans="1:28" s="44" customFormat="1" ht="12.6" customHeight="1" x14ac:dyDescent="0.3">
      <c r="A3" s="48"/>
      <c r="B3" s="44">
        <v>250</v>
      </c>
      <c r="C3" s="44">
        <v>250</v>
      </c>
      <c r="D3" s="44">
        <v>250</v>
      </c>
      <c r="E3" s="44">
        <v>250</v>
      </c>
      <c r="F3" s="44">
        <v>250</v>
      </c>
      <c r="G3" s="183"/>
    </row>
    <row r="4" spans="1:28" s="44" customFormat="1" ht="29.4" thickBot="1" x14ac:dyDescent="0.35">
      <c r="A4" s="49"/>
      <c r="B4" s="187" t="s">
        <v>444</v>
      </c>
      <c r="C4" s="187" t="s">
        <v>453</v>
      </c>
      <c r="D4" s="187" t="s">
        <v>423</v>
      </c>
      <c r="E4" s="187" t="s">
        <v>318</v>
      </c>
      <c r="F4" s="187" t="s">
        <v>306</v>
      </c>
      <c r="G4" s="185" t="s">
        <v>15</v>
      </c>
    </row>
    <row r="5" spans="1:28" s="101" customFormat="1" ht="14.4" x14ac:dyDescent="0.3">
      <c r="A5" s="219" t="s">
        <v>16</v>
      </c>
      <c r="B5" s="221"/>
      <c r="C5" s="221"/>
      <c r="D5" s="221"/>
      <c r="G5" s="79"/>
      <c r="H5" s="78"/>
      <c r="I5" s="78"/>
      <c r="J5" s="78"/>
      <c r="K5" s="78"/>
      <c r="L5" s="78"/>
      <c r="M5" s="78"/>
      <c r="N5" s="78"/>
      <c r="O5" s="78"/>
      <c r="P5" s="78"/>
      <c r="Q5" s="78"/>
      <c r="R5" s="78"/>
      <c r="S5" s="78"/>
      <c r="T5" s="78"/>
      <c r="U5" s="78"/>
      <c r="V5" s="78"/>
      <c r="W5" s="78"/>
      <c r="X5" s="78"/>
      <c r="Y5" s="78"/>
      <c r="Z5" s="78"/>
      <c r="AA5" s="78"/>
      <c r="AB5" s="78"/>
    </row>
    <row r="6" spans="1:28" ht="12.6" customHeight="1" x14ac:dyDescent="0.3">
      <c r="A6" s="104" t="s">
        <v>26</v>
      </c>
    </row>
    <row r="7" spans="1:28" ht="12.6" customHeight="1" x14ac:dyDescent="0.3">
      <c r="A7" s="102" t="s">
        <v>60</v>
      </c>
      <c r="B7" s="78">
        <v>49000</v>
      </c>
      <c r="C7" s="78">
        <v>48625</v>
      </c>
      <c r="D7" s="78">
        <v>48625</v>
      </c>
      <c r="E7" s="78">
        <v>49800</v>
      </c>
      <c r="F7" s="78">
        <v>50271</v>
      </c>
      <c r="G7" s="79" t="s">
        <v>15</v>
      </c>
    </row>
    <row r="8" spans="1:28" ht="12.6" customHeight="1" x14ac:dyDescent="0.3">
      <c r="A8" s="102" t="s">
        <v>23</v>
      </c>
      <c r="B8" s="78">
        <v>3000</v>
      </c>
      <c r="C8" s="78">
        <v>3000</v>
      </c>
      <c r="D8" s="78">
        <v>3000</v>
      </c>
      <c r="E8" s="78">
        <v>1000</v>
      </c>
      <c r="F8" s="78">
        <v>3940</v>
      </c>
    </row>
    <row r="9" spans="1:28" ht="12.6" customHeight="1" x14ac:dyDescent="0.3">
      <c r="A9" s="102" t="s">
        <v>17</v>
      </c>
      <c r="B9" s="78">
        <v>23500</v>
      </c>
      <c r="C9" s="78">
        <v>23412</v>
      </c>
      <c r="D9" s="78">
        <v>21000</v>
      </c>
      <c r="E9" s="78">
        <v>21000</v>
      </c>
      <c r="F9" s="78">
        <f>38469-2</f>
        <v>38467</v>
      </c>
    </row>
    <row r="10" spans="1:28" ht="12.6" customHeight="1" x14ac:dyDescent="0.3">
      <c r="A10" s="102" t="s">
        <v>220</v>
      </c>
      <c r="B10" s="78">
        <v>1000</v>
      </c>
      <c r="C10" s="78">
        <v>1000</v>
      </c>
      <c r="D10" s="78">
        <v>1000</v>
      </c>
      <c r="E10" s="78">
        <v>1000</v>
      </c>
      <c r="F10" s="78">
        <v>1287</v>
      </c>
    </row>
    <row r="11" spans="1:28" s="78" customFormat="1" ht="12.6" customHeight="1" x14ac:dyDescent="0.3">
      <c r="A11" s="78" t="s">
        <v>304</v>
      </c>
      <c r="B11" s="58">
        <v>1000</v>
      </c>
      <c r="C11" s="58">
        <v>11229</v>
      </c>
      <c r="D11" s="58">
        <v>2924</v>
      </c>
      <c r="E11" s="58">
        <v>1000</v>
      </c>
      <c r="F11" s="58">
        <v>50981</v>
      </c>
      <c r="G11" s="58" t="s">
        <v>15</v>
      </c>
    </row>
    <row r="12" spans="1:28" s="78" customFormat="1" ht="12.6" customHeight="1" x14ac:dyDescent="0.3">
      <c r="A12" s="78" t="s">
        <v>443</v>
      </c>
      <c r="B12" s="58">
        <v>35000</v>
      </c>
      <c r="C12" s="58"/>
      <c r="D12" s="58"/>
      <c r="E12" s="58"/>
      <c r="F12" s="58"/>
      <c r="G12" s="58"/>
    </row>
    <row r="13" spans="1:28" ht="14.4" x14ac:dyDescent="0.3">
      <c r="A13" s="102" t="s">
        <v>22</v>
      </c>
      <c r="B13" s="79">
        <v>107000</v>
      </c>
      <c r="C13" s="79">
        <v>106875</v>
      </c>
      <c r="D13" s="79">
        <v>106875</v>
      </c>
      <c r="E13" s="79">
        <f>E1*E3</f>
        <v>105250</v>
      </c>
      <c r="F13" s="79">
        <v>108825</v>
      </c>
      <c r="G13" s="76" t="s">
        <v>15</v>
      </c>
      <c r="H13" s="124" t="s">
        <v>15</v>
      </c>
    </row>
    <row r="14" spans="1:28" ht="14.4" x14ac:dyDescent="0.3">
      <c r="A14" s="102" t="s">
        <v>73</v>
      </c>
      <c r="B14" s="79">
        <v>10000</v>
      </c>
      <c r="C14" s="79">
        <v>10000</v>
      </c>
      <c r="D14" s="79">
        <v>10000</v>
      </c>
      <c r="E14" s="79">
        <v>10000</v>
      </c>
      <c r="F14" s="79">
        <v>9759</v>
      </c>
    </row>
    <row r="15" spans="1:28" ht="14.4" x14ac:dyDescent="0.3">
      <c r="A15" s="102" t="s">
        <v>79</v>
      </c>
      <c r="B15" s="79">
        <v>3314860</v>
      </c>
      <c r="C15" s="79">
        <v>3246183</v>
      </c>
      <c r="D15" s="79">
        <v>3212752</v>
      </c>
      <c r="E15" s="79">
        <f>E1*E2</f>
        <v>3096880.21</v>
      </c>
      <c r="F15" s="79">
        <v>3114752</v>
      </c>
      <c r="G15" s="64" t="e">
        <f>+#REF!-B15</f>
        <v>#REF!</v>
      </c>
    </row>
    <row r="16" spans="1:28" ht="14.4" x14ac:dyDescent="0.3">
      <c r="A16" s="102" t="s">
        <v>328</v>
      </c>
      <c r="B16" s="79"/>
      <c r="C16" s="79"/>
      <c r="D16" s="79"/>
      <c r="E16" s="79"/>
      <c r="F16" s="79">
        <v>1930</v>
      </c>
    </row>
    <row r="17" spans="1:28" ht="14.4" x14ac:dyDescent="0.3">
      <c r="A17" s="102" t="s">
        <v>103</v>
      </c>
      <c r="B17" s="79">
        <v>5000</v>
      </c>
      <c r="C17" s="79">
        <v>5000</v>
      </c>
      <c r="D17" s="79">
        <v>5000</v>
      </c>
      <c r="E17" s="79">
        <v>5000</v>
      </c>
      <c r="F17" s="79">
        <v>9807</v>
      </c>
    </row>
    <row r="18" spans="1:28" ht="14.4" x14ac:dyDescent="0.3">
      <c r="A18" s="102" t="s">
        <v>159</v>
      </c>
      <c r="B18" s="79">
        <v>500</v>
      </c>
      <c r="C18" s="79">
        <v>517</v>
      </c>
      <c r="D18" s="79">
        <v>137</v>
      </c>
      <c r="E18" s="79">
        <v>137</v>
      </c>
      <c r="F18" s="79">
        <v>1729</v>
      </c>
    </row>
    <row r="19" spans="1:28" ht="14.4" x14ac:dyDescent="0.3">
      <c r="A19" s="102" t="s">
        <v>208</v>
      </c>
      <c r="B19" s="79">
        <v>1500</v>
      </c>
      <c r="C19" s="79">
        <v>1321</v>
      </c>
      <c r="D19" s="79">
        <v>1092</v>
      </c>
      <c r="E19" s="79">
        <v>656</v>
      </c>
      <c r="F19" s="79">
        <v>2209</v>
      </c>
    </row>
    <row r="20" spans="1:28" ht="12.6" customHeight="1" x14ac:dyDescent="0.3">
      <c r="A20" s="102" t="s">
        <v>160</v>
      </c>
      <c r="B20" s="103">
        <v>15000</v>
      </c>
      <c r="C20" s="103">
        <v>15000</v>
      </c>
      <c r="D20" s="103">
        <v>15000</v>
      </c>
      <c r="E20" s="103">
        <v>15000</v>
      </c>
      <c r="F20" s="103">
        <v>13745</v>
      </c>
    </row>
    <row r="21" spans="1:28" s="104" customFormat="1" ht="12.6" customHeight="1" x14ac:dyDescent="0.3">
      <c r="A21" s="104" t="s">
        <v>27</v>
      </c>
      <c r="B21" s="104">
        <f t="shared" ref="B21:G21" si="0">SUM(B7:B20)</f>
        <v>3566360</v>
      </c>
      <c r="C21" s="104">
        <f t="shared" si="0"/>
        <v>3472162</v>
      </c>
      <c r="D21" s="104">
        <f t="shared" si="0"/>
        <v>3427405</v>
      </c>
      <c r="E21" s="104">
        <f t="shared" si="0"/>
        <v>3306723.21</v>
      </c>
      <c r="F21" s="104">
        <f t="shared" si="0"/>
        <v>3407702</v>
      </c>
      <c r="G21" s="105" t="e">
        <f t="shared" si="0"/>
        <v>#REF!</v>
      </c>
      <c r="H21" s="2"/>
      <c r="I21" s="2"/>
      <c r="J21" s="2"/>
      <c r="K21" s="2"/>
      <c r="L21" s="2"/>
      <c r="M21" s="2"/>
      <c r="N21" s="2"/>
      <c r="O21" s="2"/>
      <c r="P21" s="2"/>
      <c r="Q21" s="2"/>
      <c r="R21" s="2"/>
      <c r="S21" s="2"/>
      <c r="T21" s="2"/>
      <c r="U21" s="2"/>
      <c r="V21" s="2"/>
      <c r="W21" s="2"/>
      <c r="X21" s="2"/>
      <c r="Y21" s="2"/>
      <c r="Z21" s="2"/>
      <c r="AA21" s="2"/>
      <c r="AB21" s="2"/>
    </row>
    <row r="22" spans="1:28" s="104" customFormat="1" ht="12.6" customHeight="1" x14ac:dyDescent="0.3">
      <c r="G22" s="105"/>
      <c r="H22" s="2"/>
      <c r="I22" s="2"/>
      <c r="J22" s="2"/>
      <c r="K22" s="2"/>
      <c r="L22" s="2"/>
      <c r="M22" s="2"/>
      <c r="N22" s="2"/>
      <c r="O22" s="2"/>
      <c r="P22" s="2"/>
      <c r="Q22" s="2"/>
      <c r="R22" s="2"/>
      <c r="S22" s="2"/>
      <c r="T22" s="2"/>
      <c r="U22" s="2"/>
      <c r="V22" s="2"/>
      <c r="W22" s="2"/>
      <c r="X22" s="2"/>
      <c r="Y22" s="2"/>
      <c r="Z22" s="2"/>
      <c r="AA22" s="2"/>
      <c r="AB22" s="2"/>
    </row>
    <row r="23" spans="1:28" s="104" customFormat="1" ht="12.6" customHeight="1" x14ac:dyDescent="0.3">
      <c r="A23" s="104" t="s">
        <v>364</v>
      </c>
      <c r="B23" s="104">
        <v>0</v>
      </c>
      <c r="C23" s="104">
        <v>6259</v>
      </c>
      <c r="D23" s="104">
        <v>7258.41</v>
      </c>
      <c r="E23" s="104">
        <v>7258.41</v>
      </c>
      <c r="F23" s="104">
        <v>8064</v>
      </c>
      <c r="G23" s="105"/>
      <c r="H23" s="2"/>
      <c r="I23" s="2"/>
      <c r="J23" s="2"/>
      <c r="K23" s="2"/>
      <c r="L23" s="2"/>
      <c r="M23" s="2"/>
      <c r="N23" s="2"/>
      <c r="O23" s="2"/>
      <c r="P23" s="2"/>
      <c r="Q23" s="2"/>
      <c r="R23" s="2"/>
      <c r="S23" s="2"/>
      <c r="T23" s="2"/>
      <c r="U23" s="2"/>
      <c r="V23" s="2"/>
      <c r="W23" s="2"/>
      <c r="X23" s="2"/>
      <c r="Y23" s="2"/>
      <c r="Z23" s="2"/>
      <c r="AA23" s="2"/>
      <c r="AB23" s="2"/>
    </row>
    <row r="24" spans="1:28" ht="12.6" customHeight="1" x14ac:dyDescent="0.3">
      <c r="A24" s="104" t="s">
        <v>55</v>
      </c>
      <c r="B24" s="105">
        <v>10000</v>
      </c>
      <c r="C24" s="105">
        <v>10000</v>
      </c>
      <c r="D24" s="105">
        <v>10000</v>
      </c>
      <c r="E24" s="105">
        <v>10000</v>
      </c>
      <c r="F24" s="105">
        <v>8888</v>
      </c>
      <c r="G24" s="105"/>
    </row>
    <row r="25" spans="1:28" s="104" customFormat="1" ht="12.6" customHeight="1" x14ac:dyDescent="0.3">
      <c r="G25" s="105"/>
      <c r="H25" s="2"/>
      <c r="I25" s="2"/>
      <c r="J25" s="2"/>
      <c r="K25" s="2"/>
      <c r="L25" s="2"/>
      <c r="M25" s="2"/>
      <c r="N25" s="2"/>
      <c r="O25" s="2"/>
      <c r="P25" s="2"/>
      <c r="Q25" s="2"/>
      <c r="R25" s="2"/>
      <c r="S25" s="2"/>
      <c r="T25" s="2"/>
      <c r="U25" s="2"/>
      <c r="V25" s="2"/>
      <c r="W25" s="2"/>
      <c r="X25" s="2"/>
      <c r="Y25" s="2"/>
      <c r="Z25" s="2"/>
      <c r="AA25" s="2"/>
      <c r="AB25" s="2"/>
    </row>
    <row r="26" spans="1:28" s="104" customFormat="1" ht="12.6" customHeight="1" x14ac:dyDescent="0.3">
      <c r="A26" s="104" t="s">
        <v>146</v>
      </c>
      <c r="G26" s="105"/>
      <c r="H26" s="2"/>
      <c r="I26" s="2"/>
      <c r="J26" s="2"/>
      <c r="K26" s="2"/>
      <c r="L26" s="2"/>
      <c r="M26" s="2"/>
      <c r="N26" s="2"/>
      <c r="O26" s="2"/>
      <c r="P26" s="2"/>
      <c r="Q26" s="2"/>
      <c r="R26" s="2"/>
      <c r="S26" s="2"/>
      <c r="T26" s="2"/>
      <c r="U26" s="2"/>
      <c r="V26" s="2"/>
      <c r="W26" s="2"/>
      <c r="X26" s="2"/>
      <c r="Y26" s="2"/>
      <c r="Z26" s="2"/>
      <c r="AA26" s="2"/>
      <c r="AB26" s="2"/>
    </row>
    <row r="27" spans="1:28" s="104" customFormat="1" ht="12.6" customHeight="1" x14ac:dyDescent="0.3">
      <c r="A27" s="102" t="s">
        <v>152</v>
      </c>
      <c r="F27" s="104">
        <v>8874</v>
      </c>
      <c r="G27" s="105"/>
      <c r="H27" s="2"/>
      <c r="I27" s="2"/>
      <c r="J27" s="2"/>
      <c r="K27" s="2"/>
      <c r="L27" s="2"/>
      <c r="M27" s="2"/>
      <c r="N27" s="2"/>
      <c r="O27" s="2"/>
      <c r="P27" s="2"/>
      <c r="Q27" s="2"/>
      <c r="R27" s="2"/>
      <c r="S27" s="2"/>
      <c r="T27" s="2"/>
      <c r="U27" s="2"/>
      <c r="V27" s="2"/>
      <c r="W27" s="2"/>
      <c r="X27" s="2"/>
      <c r="Y27" s="2"/>
      <c r="Z27" s="2"/>
      <c r="AA27" s="2"/>
      <c r="AB27" s="2"/>
    </row>
    <row r="28" spans="1:28" s="104" customFormat="1" ht="12.6" customHeight="1" x14ac:dyDescent="0.3">
      <c r="A28" s="102" t="s">
        <v>147</v>
      </c>
      <c r="F28" s="104">
        <v>9742</v>
      </c>
      <c r="G28" s="105"/>
      <c r="H28" s="2"/>
      <c r="I28" s="2"/>
      <c r="J28" s="2"/>
      <c r="K28" s="2"/>
      <c r="L28" s="2"/>
      <c r="M28" s="2"/>
      <c r="N28" s="2"/>
      <c r="O28" s="2"/>
      <c r="P28" s="2"/>
      <c r="Q28" s="2"/>
      <c r="R28" s="2"/>
      <c r="S28" s="2"/>
      <c r="T28" s="2"/>
      <c r="U28" s="2"/>
      <c r="V28" s="2"/>
      <c r="W28" s="2"/>
      <c r="X28" s="2"/>
      <c r="Y28" s="2"/>
      <c r="Z28" s="2"/>
      <c r="AA28" s="2"/>
      <c r="AB28" s="2"/>
    </row>
    <row r="29" spans="1:28" s="104" customFormat="1" ht="12.6" customHeight="1" x14ac:dyDescent="0.3">
      <c r="A29" s="102" t="s">
        <v>148</v>
      </c>
      <c r="F29" s="104">
        <v>10255</v>
      </c>
      <c r="G29" s="105"/>
      <c r="H29" s="2"/>
      <c r="I29" s="2"/>
      <c r="J29" s="2"/>
      <c r="K29" s="2"/>
      <c r="L29" s="2"/>
      <c r="M29" s="2"/>
      <c r="N29" s="2"/>
      <c r="O29" s="2"/>
      <c r="P29" s="2"/>
      <c r="Q29" s="2"/>
      <c r="R29" s="2"/>
      <c r="S29" s="2"/>
      <c r="T29" s="2"/>
      <c r="U29" s="2"/>
      <c r="V29" s="2"/>
      <c r="W29" s="2"/>
      <c r="X29" s="2"/>
      <c r="Y29" s="2"/>
      <c r="Z29" s="2"/>
      <c r="AA29" s="2"/>
      <c r="AB29" s="2"/>
    </row>
    <row r="30" spans="1:28" s="104" customFormat="1" ht="12.6" customHeight="1" x14ac:dyDescent="0.3">
      <c r="A30" s="102" t="s">
        <v>153</v>
      </c>
      <c r="F30" s="104">
        <v>17003</v>
      </c>
      <c r="G30" s="105"/>
      <c r="H30" s="2"/>
      <c r="I30" s="2"/>
      <c r="J30" s="2"/>
      <c r="K30" s="2"/>
      <c r="L30" s="2"/>
      <c r="M30" s="2"/>
      <c r="N30" s="2"/>
      <c r="O30" s="2"/>
      <c r="P30" s="2"/>
      <c r="Q30" s="2"/>
      <c r="R30" s="2"/>
      <c r="S30" s="2"/>
      <c r="T30" s="2"/>
      <c r="U30" s="2"/>
      <c r="V30" s="2"/>
      <c r="W30" s="2"/>
      <c r="X30" s="2"/>
      <c r="Y30" s="2"/>
      <c r="Z30" s="2"/>
      <c r="AA30" s="2"/>
      <c r="AB30" s="2"/>
    </row>
    <row r="31" spans="1:28" s="104" customFormat="1" ht="12.6" customHeight="1" x14ac:dyDescent="0.3">
      <c r="A31" s="102" t="s">
        <v>149</v>
      </c>
      <c r="F31" s="104">
        <v>1640</v>
      </c>
      <c r="G31" s="105"/>
      <c r="H31" s="2"/>
      <c r="I31" s="2"/>
      <c r="J31" s="2"/>
      <c r="K31" s="2"/>
      <c r="L31" s="2"/>
      <c r="M31" s="2"/>
      <c r="N31" s="2"/>
      <c r="O31" s="2"/>
      <c r="P31" s="2"/>
      <c r="Q31" s="2"/>
      <c r="R31" s="2"/>
      <c r="S31" s="2"/>
      <c r="T31" s="2"/>
      <c r="U31" s="2"/>
      <c r="V31" s="2"/>
      <c r="W31" s="2"/>
      <c r="X31" s="2"/>
      <c r="Y31" s="2"/>
      <c r="Z31" s="2"/>
      <c r="AA31" s="2"/>
      <c r="AB31" s="2"/>
    </row>
    <row r="32" spans="1:28" s="104" customFormat="1" ht="12.6" customHeight="1" x14ac:dyDescent="0.3">
      <c r="A32" s="102" t="s">
        <v>150</v>
      </c>
      <c r="F32" s="104">
        <v>100</v>
      </c>
      <c r="G32" s="105"/>
      <c r="H32" s="2"/>
      <c r="I32" s="2"/>
      <c r="J32" s="2"/>
      <c r="K32" s="2"/>
      <c r="L32" s="2"/>
      <c r="M32" s="2"/>
      <c r="N32" s="2"/>
      <c r="O32" s="2"/>
      <c r="P32" s="2"/>
      <c r="Q32" s="2"/>
      <c r="R32" s="2"/>
      <c r="S32" s="2"/>
      <c r="T32" s="2"/>
      <c r="U32" s="2"/>
      <c r="V32" s="2"/>
      <c r="W32" s="2"/>
      <c r="X32" s="2"/>
      <c r="Y32" s="2"/>
      <c r="Z32" s="2"/>
      <c r="AA32" s="2"/>
      <c r="AB32" s="2"/>
    </row>
    <row r="33" spans="1:28" s="104" customFormat="1" ht="12.6" customHeight="1" x14ac:dyDescent="0.3">
      <c r="A33" s="102" t="s">
        <v>151</v>
      </c>
      <c r="G33" s="105"/>
      <c r="H33" s="2"/>
      <c r="I33" s="2"/>
      <c r="J33" s="2"/>
      <c r="K33" s="2"/>
      <c r="L33" s="2"/>
      <c r="M33" s="2"/>
      <c r="N33" s="2"/>
      <c r="O33" s="2"/>
      <c r="P33" s="2"/>
      <c r="Q33" s="2"/>
      <c r="R33" s="2"/>
      <c r="S33" s="2"/>
      <c r="T33" s="2"/>
      <c r="U33" s="2"/>
      <c r="V33" s="2"/>
      <c r="W33" s="2"/>
      <c r="X33" s="2"/>
      <c r="Y33" s="2"/>
      <c r="Z33" s="2"/>
      <c r="AA33" s="2"/>
      <c r="AB33" s="2"/>
    </row>
    <row r="34" spans="1:28" s="104" customFormat="1" ht="12.6" customHeight="1" x14ac:dyDescent="0.3">
      <c r="A34" s="102" t="s">
        <v>157</v>
      </c>
      <c r="B34" s="106"/>
      <c r="C34" s="106"/>
      <c r="D34" s="106"/>
      <c r="E34" s="106"/>
      <c r="F34" s="106">
        <v>10113</v>
      </c>
      <c r="G34" s="105"/>
      <c r="H34" s="2"/>
      <c r="I34" s="2"/>
      <c r="J34" s="2"/>
      <c r="K34" s="2"/>
      <c r="L34" s="2"/>
      <c r="M34" s="2"/>
      <c r="N34" s="2"/>
      <c r="O34" s="2"/>
      <c r="P34" s="2"/>
      <c r="Q34" s="2"/>
      <c r="R34" s="2"/>
      <c r="S34" s="2"/>
      <c r="T34" s="2"/>
      <c r="U34" s="2"/>
      <c r="V34" s="2"/>
      <c r="W34" s="2"/>
      <c r="X34" s="2"/>
      <c r="Y34" s="2"/>
      <c r="Z34" s="2"/>
      <c r="AA34" s="2"/>
      <c r="AB34" s="2"/>
    </row>
    <row r="35" spans="1:28" s="104" customFormat="1" ht="12.6" customHeight="1" x14ac:dyDescent="0.3">
      <c r="A35" s="104" t="s">
        <v>163</v>
      </c>
      <c r="B35" s="107">
        <v>69750</v>
      </c>
      <c r="C35" s="107">
        <v>69750</v>
      </c>
      <c r="D35" s="107">
        <v>69750</v>
      </c>
      <c r="E35" s="107">
        <v>69750</v>
      </c>
      <c r="F35" s="107">
        <f>SUM(F27:F34)</f>
        <v>57727</v>
      </c>
      <c r="G35" s="181" t="s">
        <v>15</v>
      </c>
      <c r="H35" s="2"/>
      <c r="I35" s="2"/>
      <c r="J35" s="2"/>
      <c r="K35" s="2"/>
      <c r="L35" s="2"/>
      <c r="M35" s="2"/>
      <c r="N35" s="2"/>
      <c r="O35" s="2"/>
      <c r="P35" s="2"/>
      <c r="Q35" s="2"/>
      <c r="R35" s="2"/>
      <c r="S35" s="2"/>
      <c r="T35" s="2"/>
      <c r="U35" s="2"/>
      <c r="V35" s="2"/>
      <c r="W35" s="2"/>
      <c r="X35" s="2"/>
      <c r="Y35" s="2"/>
      <c r="Z35" s="2"/>
      <c r="AA35" s="2"/>
      <c r="AB35" s="2"/>
    </row>
    <row r="36" spans="1:28" s="104" customFormat="1" ht="12.6" customHeight="1" x14ac:dyDescent="0.3">
      <c r="G36" s="105"/>
      <c r="H36" s="2"/>
      <c r="I36" s="2"/>
      <c r="J36" s="2"/>
      <c r="K36" s="2"/>
      <c r="L36" s="2"/>
      <c r="M36" s="2"/>
      <c r="N36" s="2"/>
      <c r="O36" s="2"/>
      <c r="P36" s="2"/>
      <c r="Q36" s="2"/>
      <c r="R36" s="2"/>
      <c r="S36" s="2"/>
      <c r="T36" s="2"/>
      <c r="U36" s="2"/>
      <c r="V36" s="2"/>
      <c r="W36" s="2"/>
      <c r="X36" s="2"/>
      <c r="Y36" s="2"/>
      <c r="Z36" s="2"/>
      <c r="AA36" s="2"/>
      <c r="AB36" s="2"/>
    </row>
    <row r="37" spans="1:28" s="104" customFormat="1" ht="12.6" customHeight="1" x14ac:dyDescent="0.3">
      <c r="A37" s="104" t="s">
        <v>105</v>
      </c>
      <c r="G37" s="105"/>
      <c r="H37" s="2"/>
      <c r="I37" s="2"/>
      <c r="J37" s="2"/>
      <c r="K37" s="2"/>
      <c r="L37" s="2"/>
      <c r="M37" s="2"/>
      <c r="N37" s="2"/>
      <c r="O37" s="2"/>
      <c r="P37" s="2"/>
      <c r="Q37" s="2"/>
      <c r="R37" s="2"/>
      <c r="S37" s="2"/>
      <c r="T37" s="2"/>
      <c r="U37" s="2"/>
      <c r="V37" s="2"/>
      <c r="W37" s="2"/>
      <c r="X37" s="2"/>
      <c r="Y37" s="2"/>
      <c r="Z37" s="2"/>
      <c r="AA37" s="2"/>
      <c r="AB37" s="2"/>
    </row>
    <row r="38" spans="1:28" s="104" customFormat="1" ht="12.6" customHeight="1" x14ac:dyDescent="0.3">
      <c r="A38" s="102" t="s">
        <v>161</v>
      </c>
      <c r="G38" s="105"/>
      <c r="H38" s="2"/>
      <c r="I38" s="2"/>
      <c r="J38" s="2"/>
      <c r="K38" s="2"/>
      <c r="L38" s="2"/>
      <c r="M38" s="2"/>
      <c r="N38" s="2"/>
      <c r="O38" s="2"/>
      <c r="P38" s="2"/>
      <c r="Q38" s="2"/>
      <c r="R38" s="2"/>
      <c r="S38" s="2"/>
      <c r="T38" s="2"/>
      <c r="U38" s="2"/>
      <c r="V38" s="2"/>
      <c r="W38" s="2"/>
      <c r="X38" s="2"/>
      <c r="Y38" s="2"/>
      <c r="Z38" s="2"/>
      <c r="AA38" s="2"/>
      <c r="AB38" s="2"/>
    </row>
    <row r="39" spans="1:28" s="104" customFormat="1" ht="12.6" customHeight="1" x14ac:dyDescent="0.3">
      <c r="A39" s="102" t="s">
        <v>187</v>
      </c>
      <c r="G39" s="105"/>
      <c r="H39" s="2"/>
      <c r="I39" s="2"/>
      <c r="J39" s="2"/>
      <c r="K39" s="2"/>
      <c r="L39" s="2"/>
      <c r="M39" s="2"/>
      <c r="N39" s="2"/>
      <c r="O39" s="2"/>
      <c r="P39" s="2"/>
      <c r="Q39" s="2"/>
      <c r="R39" s="2"/>
      <c r="S39" s="2"/>
      <c r="T39" s="2"/>
      <c r="U39" s="2"/>
      <c r="V39" s="2"/>
      <c r="W39" s="2"/>
      <c r="X39" s="2"/>
      <c r="Y39" s="2"/>
      <c r="Z39" s="2"/>
      <c r="AA39" s="2"/>
      <c r="AB39" s="2"/>
    </row>
    <row r="40" spans="1:28" s="104" customFormat="1" ht="12.6" customHeight="1" x14ac:dyDescent="0.3">
      <c r="A40" s="102" t="s">
        <v>417</v>
      </c>
      <c r="G40" s="105"/>
      <c r="H40" s="2"/>
      <c r="I40" s="2"/>
      <c r="J40" s="2"/>
      <c r="K40" s="2"/>
      <c r="L40" s="2"/>
      <c r="M40" s="2"/>
      <c r="N40" s="2"/>
      <c r="O40" s="2"/>
      <c r="P40" s="2"/>
      <c r="Q40" s="2"/>
      <c r="R40" s="2"/>
      <c r="S40" s="2"/>
      <c r="T40" s="2"/>
      <c r="U40" s="2"/>
      <c r="V40" s="2"/>
      <c r="W40" s="2"/>
      <c r="X40" s="2"/>
      <c r="Y40" s="2"/>
      <c r="Z40" s="2"/>
      <c r="AA40" s="2"/>
      <c r="AB40" s="2"/>
    </row>
    <row r="41" spans="1:28" s="104" customFormat="1" ht="12.6" customHeight="1" x14ac:dyDescent="0.3">
      <c r="A41" s="102" t="s">
        <v>418</v>
      </c>
      <c r="G41" s="105"/>
      <c r="H41" s="2"/>
      <c r="I41" s="2"/>
      <c r="J41" s="2"/>
      <c r="K41" s="2"/>
      <c r="L41" s="2"/>
      <c r="M41" s="2"/>
      <c r="N41" s="2"/>
      <c r="O41" s="2"/>
      <c r="P41" s="2"/>
      <c r="Q41" s="2"/>
      <c r="R41" s="2"/>
      <c r="S41" s="2"/>
      <c r="T41" s="2"/>
      <c r="U41" s="2"/>
      <c r="V41" s="2"/>
      <c r="W41" s="2"/>
      <c r="X41" s="2"/>
      <c r="Y41" s="2"/>
      <c r="Z41" s="2"/>
      <c r="AA41" s="2"/>
      <c r="AB41" s="2"/>
    </row>
    <row r="42" spans="1:28" s="104" customFormat="1" ht="12.6" customHeight="1" x14ac:dyDescent="0.3">
      <c r="A42" s="102" t="s">
        <v>299</v>
      </c>
      <c r="G42" s="105"/>
      <c r="H42" s="2"/>
      <c r="I42" s="2"/>
      <c r="J42" s="2"/>
      <c r="K42" s="2"/>
      <c r="L42" s="2"/>
      <c r="M42" s="2"/>
      <c r="N42" s="2"/>
      <c r="O42" s="2"/>
      <c r="P42" s="2"/>
      <c r="Q42" s="2"/>
      <c r="R42" s="2"/>
      <c r="S42" s="2"/>
      <c r="T42" s="2"/>
      <c r="U42" s="2"/>
      <c r="V42" s="2"/>
      <c r="W42" s="2"/>
      <c r="X42" s="2"/>
      <c r="Y42" s="2"/>
      <c r="Z42" s="2"/>
      <c r="AA42" s="2"/>
      <c r="AB42" s="2"/>
    </row>
    <row r="43" spans="1:28" s="104" customFormat="1" ht="12.6" customHeight="1" x14ac:dyDescent="0.3">
      <c r="A43" s="102" t="s">
        <v>300</v>
      </c>
      <c r="G43" s="105"/>
      <c r="H43" s="2"/>
      <c r="I43" s="2"/>
      <c r="J43" s="2"/>
      <c r="K43" s="2"/>
      <c r="L43" s="2"/>
      <c r="M43" s="2"/>
      <c r="N43" s="2"/>
      <c r="O43" s="2"/>
      <c r="P43" s="2"/>
      <c r="Q43" s="2"/>
      <c r="R43" s="2"/>
      <c r="S43" s="2"/>
      <c r="T43" s="2"/>
      <c r="U43" s="2"/>
      <c r="V43" s="2"/>
      <c r="W43" s="2"/>
      <c r="X43" s="2"/>
      <c r="Y43" s="2"/>
      <c r="Z43" s="2"/>
      <c r="AA43" s="2"/>
      <c r="AB43" s="2"/>
    </row>
    <row r="44" spans="1:28" s="104" customFormat="1" ht="12.6" customHeight="1" x14ac:dyDescent="0.3">
      <c r="A44" s="102" t="s">
        <v>298</v>
      </c>
      <c r="G44" s="105"/>
      <c r="H44" s="2"/>
      <c r="I44" s="2"/>
      <c r="J44" s="2"/>
      <c r="K44" s="2"/>
      <c r="L44" s="2"/>
      <c r="M44" s="2"/>
      <c r="N44" s="2"/>
      <c r="O44" s="2"/>
      <c r="P44" s="2"/>
      <c r="Q44" s="2"/>
      <c r="R44" s="2"/>
      <c r="S44" s="2"/>
      <c r="T44" s="2"/>
      <c r="U44" s="2"/>
      <c r="V44" s="2"/>
      <c r="W44" s="2"/>
      <c r="X44" s="2"/>
      <c r="Y44" s="2"/>
      <c r="Z44" s="2"/>
      <c r="AA44" s="2"/>
      <c r="AB44" s="2"/>
    </row>
    <row r="45" spans="1:28" s="104" customFormat="1" ht="12.6" customHeight="1" x14ac:dyDescent="0.3">
      <c r="A45" s="102" t="s">
        <v>303</v>
      </c>
      <c r="G45" s="105"/>
      <c r="H45" s="2"/>
      <c r="I45" s="2"/>
      <c r="J45" s="2"/>
      <c r="K45" s="2"/>
      <c r="L45" s="2"/>
      <c r="M45" s="2"/>
      <c r="N45" s="2"/>
      <c r="O45" s="2"/>
      <c r="P45" s="2"/>
      <c r="Q45" s="2"/>
      <c r="R45" s="2"/>
      <c r="S45" s="2"/>
      <c r="T45" s="2"/>
      <c r="U45" s="2"/>
      <c r="V45" s="2"/>
      <c r="W45" s="2"/>
      <c r="X45" s="2"/>
      <c r="Y45" s="2"/>
      <c r="Z45" s="2"/>
      <c r="AA45" s="2"/>
      <c r="AB45" s="2"/>
    </row>
    <row r="46" spans="1:28" s="104" customFormat="1" ht="12.6" customHeight="1" x14ac:dyDescent="0.3">
      <c r="A46" s="102" t="s">
        <v>359</v>
      </c>
      <c r="G46" s="105"/>
      <c r="H46" s="2"/>
      <c r="I46" s="2"/>
      <c r="J46" s="2"/>
      <c r="K46" s="2"/>
      <c r="L46" s="2"/>
      <c r="M46" s="2"/>
      <c r="N46" s="2"/>
      <c r="O46" s="2"/>
      <c r="P46" s="2"/>
      <c r="Q46" s="2"/>
      <c r="R46" s="2"/>
      <c r="S46" s="2"/>
      <c r="T46" s="2"/>
      <c r="U46" s="2"/>
      <c r="V46" s="2"/>
      <c r="W46" s="2"/>
      <c r="X46" s="2"/>
      <c r="Y46" s="2"/>
      <c r="Z46" s="2"/>
      <c r="AA46" s="2"/>
      <c r="AB46" s="2"/>
    </row>
    <row r="47" spans="1:28" s="104" customFormat="1" ht="12.6" customHeight="1" x14ac:dyDescent="0.3">
      <c r="A47" s="102" t="s">
        <v>413</v>
      </c>
      <c r="G47" s="105"/>
      <c r="H47" s="2"/>
      <c r="I47" s="2"/>
      <c r="J47" s="2"/>
      <c r="K47" s="2"/>
      <c r="L47" s="2"/>
      <c r="M47" s="2"/>
      <c r="N47" s="2"/>
      <c r="O47" s="2"/>
      <c r="P47" s="2"/>
      <c r="Q47" s="2"/>
      <c r="R47" s="2"/>
      <c r="S47" s="2"/>
      <c r="T47" s="2"/>
      <c r="U47" s="2"/>
      <c r="V47" s="2"/>
      <c r="W47" s="2"/>
      <c r="X47" s="2"/>
      <c r="Y47" s="2"/>
      <c r="Z47" s="2"/>
      <c r="AA47" s="2"/>
      <c r="AB47" s="2"/>
    </row>
    <row r="48" spans="1:28" s="104" customFormat="1" ht="12.6" customHeight="1" x14ac:dyDescent="0.3">
      <c r="A48" s="102" t="s">
        <v>162</v>
      </c>
      <c r="B48" s="106"/>
      <c r="C48" s="106"/>
      <c r="D48" s="106"/>
      <c r="E48" s="106"/>
      <c r="F48" s="106"/>
      <c r="G48" s="105"/>
      <c r="H48" s="2"/>
      <c r="I48" s="2"/>
      <c r="J48" s="2"/>
      <c r="K48" s="2"/>
      <c r="L48" s="2"/>
      <c r="M48" s="2"/>
      <c r="N48" s="2"/>
      <c r="O48" s="2"/>
      <c r="P48" s="2"/>
      <c r="Q48" s="2"/>
      <c r="R48" s="2"/>
      <c r="S48" s="2"/>
      <c r="T48" s="2"/>
      <c r="U48" s="2"/>
      <c r="V48" s="2"/>
      <c r="W48" s="2"/>
      <c r="X48" s="2"/>
      <c r="Y48" s="2"/>
      <c r="Z48" s="2"/>
      <c r="AA48" s="2"/>
      <c r="AB48" s="2"/>
    </row>
    <row r="49" spans="1:28" s="104" customFormat="1" ht="12.6" customHeight="1" x14ac:dyDescent="0.3">
      <c r="A49" s="104" t="s">
        <v>105</v>
      </c>
      <c r="B49" s="106">
        <v>0</v>
      </c>
      <c r="C49" s="106">
        <v>0</v>
      </c>
      <c r="D49" s="106">
        <v>0</v>
      </c>
      <c r="E49" s="106">
        <v>0</v>
      </c>
      <c r="F49" s="106">
        <f>SUM(F38:F48)</f>
        <v>0</v>
      </c>
      <c r="G49" s="105"/>
      <c r="H49" s="2"/>
      <c r="I49" s="2"/>
      <c r="J49" s="2"/>
      <c r="K49" s="2"/>
      <c r="L49" s="2"/>
      <c r="M49" s="2"/>
      <c r="N49" s="2"/>
      <c r="O49" s="2"/>
      <c r="P49" s="2"/>
      <c r="Q49" s="2"/>
      <c r="R49" s="2"/>
      <c r="S49" s="2"/>
      <c r="T49" s="2"/>
      <c r="U49" s="2"/>
      <c r="V49" s="2"/>
      <c r="W49" s="2"/>
      <c r="X49" s="2"/>
      <c r="Y49" s="2"/>
      <c r="Z49" s="2"/>
      <c r="AA49" s="2"/>
      <c r="AB49" s="2"/>
    </row>
    <row r="50" spans="1:28" s="104" customFormat="1" ht="12.6" customHeight="1" x14ac:dyDescent="0.3">
      <c r="G50" s="105"/>
      <c r="H50" s="2"/>
      <c r="I50" s="2"/>
      <c r="J50" s="2"/>
      <c r="K50" s="2"/>
      <c r="L50" s="2"/>
      <c r="M50" s="2"/>
      <c r="N50" s="2"/>
      <c r="O50" s="2"/>
      <c r="P50" s="2"/>
      <c r="Q50" s="2"/>
      <c r="R50" s="2"/>
      <c r="S50" s="2"/>
      <c r="T50" s="2"/>
      <c r="U50" s="2"/>
      <c r="V50" s="2"/>
      <c r="W50" s="2"/>
      <c r="X50" s="2"/>
      <c r="Y50" s="2"/>
      <c r="Z50" s="2"/>
      <c r="AA50" s="2"/>
      <c r="AB50" s="2"/>
    </row>
    <row r="51" spans="1:28" s="104" customFormat="1" ht="14.25" customHeight="1" thickBot="1" x14ac:dyDescent="0.35">
      <c r="A51" s="104" t="s">
        <v>49</v>
      </c>
      <c r="B51" s="108">
        <f>+B49+B24+B21+B35+B23</f>
        <v>3646110</v>
      </c>
      <c r="C51" s="108">
        <f>+C49+C24+C21+C35+C23</f>
        <v>3558171</v>
      </c>
      <c r="D51" s="108">
        <f>+D49+D24+D21+D35+D23</f>
        <v>3514413.41</v>
      </c>
      <c r="E51" s="108">
        <f>+E49+E24+E21+E35+E23</f>
        <v>3393731.62</v>
      </c>
      <c r="F51" s="108">
        <f>+F49+F24+F21+F35+F23</f>
        <v>3482381</v>
      </c>
      <c r="G51" s="105"/>
      <c r="H51" s="2"/>
      <c r="I51" s="2"/>
      <c r="J51" s="2"/>
      <c r="K51" s="2"/>
      <c r="L51" s="2"/>
      <c r="M51" s="2"/>
      <c r="N51" s="2"/>
      <c r="O51" s="2"/>
      <c r="P51" s="2"/>
      <c r="Q51" s="2"/>
      <c r="R51" s="2"/>
      <c r="S51" s="2"/>
      <c r="T51" s="2"/>
      <c r="U51" s="2"/>
      <c r="V51" s="2"/>
      <c r="W51" s="2"/>
      <c r="X51" s="2"/>
      <c r="Y51" s="2"/>
      <c r="Z51" s="2"/>
      <c r="AA51" s="2"/>
      <c r="AB51" s="2"/>
    </row>
    <row r="52" spans="1:28" ht="12.6" customHeight="1" thickTop="1" x14ac:dyDescent="0.3">
      <c r="G52" s="196"/>
    </row>
    <row r="53" spans="1:28" s="101" customFormat="1" ht="12.75" customHeight="1" x14ac:dyDescent="0.3">
      <c r="A53" s="219" t="s">
        <v>19</v>
      </c>
      <c r="B53" s="221"/>
      <c r="C53" s="221"/>
      <c r="D53" s="221"/>
      <c r="G53" s="79"/>
      <c r="H53" s="78"/>
      <c r="I53" s="78"/>
      <c r="J53" s="78"/>
      <c r="K53" s="78"/>
      <c r="L53" s="78"/>
      <c r="M53" s="78"/>
      <c r="N53" s="78"/>
      <c r="O53" s="78"/>
      <c r="P53" s="78"/>
      <c r="Q53" s="78"/>
      <c r="R53" s="78"/>
      <c r="S53" s="78"/>
      <c r="T53" s="78"/>
      <c r="U53" s="78"/>
      <c r="V53" s="78"/>
      <c r="W53" s="78"/>
      <c r="X53" s="78"/>
      <c r="Y53" s="78"/>
      <c r="Z53" s="78"/>
      <c r="AA53" s="78"/>
      <c r="AB53" s="78"/>
    </row>
    <row r="54" spans="1:28" s="78" customFormat="1" ht="7.5" customHeight="1" x14ac:dyDescent="0.3">
      <c r="A54" s="2"/>
      <c r="G54" s="79"/>
    </row>
    <row r="55" spans="1:28" s="78" customFormat="1" ht="12.75" customHeight="1" x14ac:dyDescent="0.3">
      <c r="A55" s="219" t="s">
        <v>88</v>
      </c>
      <c r="B55" s="221"/>
      <c r="C55" s="221"/>
      <c r="D55" s="221"/>
      <c r="E55" s="101"/>
      <c r="F55" s="101"/>
      <c r="G55" s="79"/>
    </row>
    <row r="56" spans="1:28" s="78" customFormat="1" ht="12.75" customHeight="1" x14ac:dyDescent="0.3">
      <c r="A56" s="75" t="s">
        <v>231</v>
      </c>
      <c r="B56" s="78">
        <v>924369</v>
      </c>
      <c r="C56" s="78">
        <v>863367</v>
      </c>
      <c r="D56" s="78">
        <v>863367</v>
      </c>
      <c r="E56" s="78">
        <v>831050</v>
      </c>
      <c r="F56" s="78">
        <v>764772</v>
      </c>
      <c r="G56" s="79"/>
    </row>
    <row r="57" spans="1:28" s="78" customFormat="1" ht="12.75" customHeight="1" x14ac:dyDescent="0.3">
      <c r="A57" s="75" t="s">
        <v>233</v>
      </c>
      <c r="B57" s="78">
        <v>73200</v>
      </c>
      <c r="C57" s="78">
        <v>29900</v>
      </c>
      <c r="D57" s="78">
        <v>29900</v>
      </c>
      <c r="E57" s="78">
        <v>23900</v>
      </c>
      <c r="F57" s="78">
        <v>28330</v>
      </c>
      <c r="G57" s="77" t="s">
        <v>442</v>
      </c>
      <c r="H57" s="173"/>
    </row>
    <row r="58" spans="1:28" s="78" customFormat="1" ht="12.75" customHeight="1" x14ac:dyDescent="0.3">
      <c r="A58" s="75" t="s">
        <v>234</v>
      </c>
      <c r="B58" s="78">
        <v>25000</v>
      </c>
      <c r="C58" s="78">
        <v>25000</v>
      </c>
      <c r="D58" s="78">
        <v>25000</v>
      </c>
      <c r="E58" s="78">
        <v>25000</v>
      </c>
      <c r="F58" s="78">
        <v>24627</v>
      </c>
      <c r="G58" s="79"/>
      <c r="H58" s="124"/>
    </row>
    <row r="59" spans="1:28" ht="12.75" customHeight="1" x14ac:dyDescent="0.3">
      <c r="A59" s="75" t="s">
        <v>314</v>
      </c>
      <c r="B59" s="64">
        <v>0</v>
      </c>
      <c r="C59" s="64">
        <v>40000</v>
      </c>
      <c r="D59" s="64">
        <v>40000</v>
      </c>
      <c r="E59" s="64">
        <v>30583</v>
      </c>
      <c r="F59" s="64">
        <v>30583</v>
      </c>
      <c r="G59" s="76"/>
    </row>
    <row r="60" spans="1:28" s="78" customFormat="1" ht="12.75" customHeight="1" x14ac:dyDescent="0.3">
      <c r="A60" s="75" t="s">
        <v>122</v>
      </c>
      <c r="B60" s="78">
        <v>14830</v>
      </c>
      <c r="C60" s="78">
        <v>14000</v>
      </c>
      <c r="D60" s="78">
        <v>14000</v>
      </c>
      <c r="E60" s="78">
        <v>13223</v>
      </c>
      <c r="F60" s="78">
        <v>12328</v>
      </c>
      <c r="G60" s="79"/>
      <c r="H60" s="124"/>
    </row>
    <row r="61" spans="1:28" s="78" customFormat="1" ht="12.75" customHeight="1" x14ac:dyDescent="0.3">
      <c r="A61" s="75" t="s">
        <v>232</v>
      </c>
      <c r="B61" s="78">
        <v>203500</v>
      </c>
      <c r="C61" s="78">
        <v>178150</v>
      </c>
      <c r="D61" s="78">
        <v>178150</v>
      </c>
      <c r="E61" s="78">
        <v>163564</v>
      </c>
      <c r="F61" s="78">
        <v>154497</v>
      </c>
      <c r="G61" s="79"/>
      <c r="H61" s="124"/>
    </row>
    <row r="62" spans="1:28" s="78" customFormat="1" ht="12.75" customHeight="1" x14ac:dyDescent="0.3">
      <c r="A62" s="75" t="s">
        <v>189</v>
      </c>
      <c r="B62" s="103">
        <v>217600</v>
      </c>
      <c r="C62" s="103">
        <v>189000</v>
      </c>
      <c r="D62" s="103">
        <v>189000</v>
      </c>
      <c r="E62" s="103">
        <v>195099</v>
      </c>
      <c r="F62" s="103">
        <v>122425</v>
      </c>
      <c r="G62" s="79"/>
      <c r="H62" s="124"/>
    </row>
    <row r="63" spans="1:28" ht="12.6" customHeight="1" x14ac:dyDescent="0.3">
      <c r="A63" s="78" t="s">
        <v>245</v>
      </c>
      <c r="B63" s="78">
        <f>SUM(B56:B62)</f>
        <v>1458499</v>
      </c>
      <c r="C63" s="78">
        <f>SUM(C56:C62)</f>
        <v>1339417</v>
      </c>
      <c r="D63" s="78">
        <f>SUM(D56:D62)</f>
        <v>1339417</v>
      </c>
      <c r="E63" s="78">
        <f>SUM(E56:E62)</f>
        <v>1282419</v>
      </c>
      <c r="F63" s="78">
        <f>SUM(F56:F62)</f>
        <v>1137562</v>
      </c>
      <c r="H63" s="124"/>
    </row>
    <row r="64" spans="1:28" ht="12.6" customHeight="1" x14ac:dyDescent="0.3">
      <c r="A64" s="78" t="s">
        <v>456</v>
      </c>
      <c r="B64" s="78"/>
      <c r="C64" s="78"/>
      <c r="D64" s="78"/>
      <c r="E64" s="78"/>
      <c r="F64" s="78"/>
      <c r="H64" s="124"/>
    </row>
    <row r="65" spans="1:28" ht="12.6" customHeight="1" x14ac:dyDescent="0.3">
      <c r="A65" s="78" t="s">
        <v>82</v>
      </c>
      <c r="B65" s="82">
        <v>32000</v>
      </c>
      <c r="C65" s="82">
        <v>32000</v>
      </c>
      <c r="D65" s="82">
        <v>32000</v>
      </c>
      <c r="E65" s="82">
        <v>32000</v>
      </c>
      <c r="F65" s="82">
        <v>24115</v>
      </c>
      <c r="G65" s="77"/>
      <c r="H65" s="124"/>
    </row>
    <row r="66" spans="1:28" ht="12.6" customHeight="1" x14ac:dyDescent="0.3">
      <c r="A66" s="78" t="s">
        <v>83</v>
      </c>
      <c r="B66" s="82">
        <f>235*520</f>
        <v>122200</v>
      </c>
      <c r="C66" s="82">
        <f>235*520</f>
        <v>122200</v>
      </c>
      <c r="D66" s="82">
        <f>235*520</f>
        <v>122200</v>
      </c>
      <c r="E66" s="82">
        <f>235*520</f>
        <v>122200</v>
      </c>
      <c r="F66" s="82">
        <v>143613</v>
      </c>
      <c r="G66" s="77" t="s">
        <v>297</v>
      </c>
      <c r="H66" s="124"/>
    </row>
    <row r="67" spans="1:28" ht="12.6" customHeight="1" x14ac:dyDescent="0.3">
      <c r="A67" s="78" t="s">
        <v>276</v>
      </c>
      <c r="B67" s="82">
        <v>35000</v>
      </c>
      <c r="C67" s="82">
        <v>28000</v>
      </c>
      <c r="D67" s="82">
        <v>28000</v>
      </c>
      <c r="E67" s="82">
        <v>28000</v>
      </c>
      <c r="F67" s="82">
        <v>31935</v>
      </c>
      <c r="G67" s="77" t="s">
        <v>15</v>
      </c>
      <c r="H67" s="124"/>
    </row>
    <row r="68" spans="1:28" ht="12.6" customHeight="1" x14ac:dyDescent="0.3">
      <c r="A68" s="78" t="s">
        <v>85</v>
      </c>
      <c r="B68" s="82">
        <v>39200</v>
      </c>
      <c r="C68" s="82">
        <v>39200</v>
      </c>
      <c r="D68" s="82">
        <v>39200</v>
      </c>
      <c r="E68" s="82">
        <v>33000</v>
      </c>
      <c r="F68" s="82">
        <v>24229</v>
      </c>
      <c r="G68" s="77" t="s">
        <v>15</v>
      </c>
      <c r="H68" s="124"/>
    </row>
    <row r="69" spans="1:28" s="78" customFormat="1" ht="12.6" customHeight="1" x14ac:dyDescent="0.3">
      <c r="A69" s="78" t="s">
        <v>86</v>
      </c>
      <c r="B69" s="103">
        <v>3550</v>
      </c>
      <c r="C69" s="103">
        <v>3550</v>
      </c>
      <c r="D69" s="103">
        <v>3550</v>
      </c>
      <c r="E69" s="103">
        <v>3550</v>
      </c>
      <c r="F69" s="103">
        <v>1828</v>
      </c>
      <c r="G69" s="79"/>
    </row>
    <row r="70" spans="1:28" s="104" customFormat="1" ht="12.6" customHeight="1" x14ac:dyDescent="0.3">
      <c r="A70" s="104" t="s">
        <v>31</v>
      </c>
      <c r="B70" s="105">
        <f>SUM(B63:B69)</f>
        <v>1690449</v>
      </c>
      <c r="C70" s="105">
        <f>SUM(C63:C69)</f>
        <v>1564367</v>
      </c>
      <c r="D70" s="105">
        <f>SUM(D63:D69)</f>
        <v>1564367</v>
      </c>
      <c r="E70" s="105">
        <f>SUM(E63:E69)</f>
        <v>1501169</v>
      </c>
      <c r="F70" s="105">
        <f>SUM(F63:F69)</f>
        <v>1363282</v>
      </c>
      <c r="G70" s="105"/>
      <c r="H70" s="2"/>
      <c r="I70" s="2"/>
      <c r="J70" s="2"/>
      <c r="K70" s="2"/>
      <c r="L70" s="2"/>
      <c r="M70" s="2"/>
      <c r="N70" s="2"/>
      <c r="O70" s="2"/>
      <c r="P70" s="2"/>
      <c r="Q70" s="2"/>
      <c r="R70" s="2"/>
      <c r="S70" s="2"/>
      <c r="T70" s="2"/>
      <c r="U70" s="2"/>
      <c r="V70" s="2"/>
      <c r="W70" s="2"/>
      <c r="X70" s="2"/>
      <c r="Y70" s="2"/>
      <c r="Z70" s="2"/>
      <c r="AA70" s="2"/>
      <c r="AB70" s="2"/>
    </row>
    <row r="71" spans="1:28" s="104" customFormat="1" ht="12.6" customHeight="1" x14ac:dyDescent="0.3">
      <c r="B71" s="105"/>
      <c r="C71" s="105"/>
      <c r="D71" s="105"/>
      <c r="E71" s="105"/>
      <c r="F71" s="105"/>
      <c r="G71" s="105"/>
      <c r="H71" s="2"/>
      <c r="I71" s="2"/>
      <c r="J71" s="2"/>
      <c r="K71" s="2"/>
      <c r="L71" s="2"/>
      <c r="M71" s="2"/>
      <c r="N71" s="2"/>
      <c r="O71" s="2"/>
      <c r="P71" s="2"/>
      <c r="Q71" s="2"/>
      <c r="R71" s="2"/>
      <c r="S71" s="2"/>
      <c r="T71" s="2"/>
      <c r="U71" s="2"/>
      <c r="V71" s="2"/>
      <c r="W71" s="2"/>
      <c r="X71" s="2"/>
      <c r="Y71" s="2"/>
      <c r="Z71" s="2"/>
      <c r="AA71" s="2"/>
      <c r="AB71" s="2"/>
    </row>
    <row r="72" spans="1:28" s="104" customFormat="1" ht="12.6" customHeight="1" x14ac:dyDescent="0.3">
      <c r="A72" s="219" t="s">
        <v>35</v>
      </c>
      <c r="B72" s="218"/>
      <c r="C72" s="218"/>
      <c r="D72" s="218"/>
      <c r="E72" s="109"/>
      <c r="F72" s="109"/>
      <c r="G72" s="105"/>
      <c r="H72" s="2"/>
      <c r="I72" s="2"/>
      <c r="J72" s="2"/>
      <c r="K72" s="2"/>
      <c r="L72" s="2"/>
      <c r="M72" s="2"/>
      <c r="N72" s="2"/>
      <c r="O72" s="2"/>
      <c r="P72" s="2"/>
      <c r="Q72" s="2"/>
      <c r="R72" s="2"/>
      <c r="S72" s="2"/>
      <c r="T72" s="2"/>
      <c r="U72" s="2"/>
      <c r="V72" s="2"/>
      <c r="W72" s="2"/>
      <c r="X72" s="2"/>
      <c r="Y72" s="2"/>
      <c r="Z72" s="2"/>
      <c r="AA72" s="2"/>
      <c r="AB72" s="2"/>
    </row>
    <row r="73" spans="1:28" s="2" customFormat="1" ht="12.6" customHeight="1" x14ac:dyDescent="0.3">
      <c r="A73" s="78" t="s">
        <v>1</v>
      </c>
      <c r="B73" s="79">
        <v>195600</v>
      </c>
      <c r="C73" s="79">
        <v>182880</v>
      </c>
      <c r="D73" s="79">
        <v>182880</v>
      </c>
      <c r="E73" s="79">
        <v>182425</v>
      </c>
      <c r="F73" s="79">
        <v>162047</v>
      </c>
      <c r="G73" s="105"/>
    </row>
    <row r="74" spans="1:28" s="2" customFormat="1" ht="12.6" customHeight="1" x14ac:dyDescent="0.3">
      <c r="A74" s="78" t="s">
        <v>122</v>
      </c>
      <c r="B74" s="79">
        <v>2950</v>
      </c>
      <c r="C74" s="79">
        <v>2660</v>
      </c>
      <c r="D74" s="79">
        <v>2660</v>
      </c>
      <c r="E74" s="79">
        <v>2645</v>
      </c>
      <c r="F74" s="79">
        <v>2331</v>
      </c>
      <c r="G74" s="105"/>
    </row>
    <row r="75" spans="1:28" s="2" customFormat="1" ht="12.6" customHeight="1" x14ac:dyDescent="0.3">
      <c r="A75" s="78" t="s">
        <v>232</v>
      </c>
      <c r="B75" s="79">
        <v>39950</v>
      </c>
      <c r="C75" s="79">
        <v>35500</v>
      </c>
      <c r="D75" s="79">
        <v>35500</v>
      </c>
      <c r="E75" s="79">
        <v>35390</v>
      </c>
      <c r="F75" s="79">
        <v>33010</v>
      </c>
      <c r="G75" s="105"/>
    </row>
    <row r="76" spans="1:28" s="2" customFormat="1" ht="12.6" customHeight="1" x14ac:dyDescent="0.3">
      <c r="A76" s="78" t="s">
        <v>189</v>
      </c>
      <c r="B76" s="79">
        <v>27000</v>
      </c>
      <c r="C76" s="79">
        <v>27000</v>
      </c>
      <c r="D76" s="79">
        <v>27000</v>
      </c>
      <c r="E76" s="79">
        <v>28779</v>
      </c>
      <c r="F76" s="79">
        <v>14933</v>
      </c>
      <c r="G76" s="105"/>
    </row>
    <row r="77" spans="1:28" s="2" customFormat="1" ht="12.6" customHeight="1" x14ac:dyDescent="0.3">
      <c r="A77" s="78" t="s">
        <v>125</v>
      </c>
      <c r="B77" s="103">
        <v>5000</v>
      </c>
      <c r="C77" s="103">
        <v>3000</v>
      </c>
      <c r="D77" s="103">
        <v>3000</v>
      </c>
      <c r="E77" s="103">
        <v>3000</v>
      </c>
      <c r="F77" s="103"/>
      <c r="G77" s="105"/>
    </row>
    <row r="78" spans="1:28" s="78" customFormat="1" ht="12.6" customHeight="1" x14ac:dyDescent="0.3">
      <c r="A78" s="78" t="s">
        <v>245</v>
      </c>
      <c r="B78" s="78">
        <f>SUM(B73:B77)</f>
        <v>270500</v>
      </c>
      <c r="C78" s="78">
        <f>SUM(C73:C77)</f>
        <v>251040</v>
      </c>
      <c r="D78" s="78">
        <f>SUM(D73:D77)</f>
        <v>251040</v>
      </c>
      <c r="E78" s="78">
        <f>SUM(E73:E77)</f>
        <v>252239</v>
      </c>
      <c r="F78" s="78">
        <f>SUM(F73:F77)</f>
        <v>212321</v>
      </c>
      <c r="G78" s="77"/>
    </row>
    <row r="79" spans="1:28" s="78" customFormat="1" ht="12.6" customHeight="1" x14ac:dyDescent="0.3">
      <c r="A79" s="78" t="s">
        <v>196</v>
      </c>
      <c r="B79" s="77">
        <v>8333</v>
      </c>
      <c r="C79" s="77">
        <v>8333</v>
      </c>
      <c r="D79" s="77">
        <v>8333</v>
      </c>
      <c r="E79" s="77">
        <v>8333</v>
      </c>
      <c r="F79" s="77">
        <v>3943</v>
      </c>
      <c r="G79" s="77"/>
    </row>
    <row r="80" spans="1:28" s="78" customFormat="1" ht="12.6" customHeight="1" x14ac:dyDescent="0.3">
      <c r="A80" s="78" t="s">
        <v>60</v>
      </c>
      <c r="B80" s="82">
        <v>49000</v>
      </c>
      <c r="C80" s="82">
        <v>52625</v>
      </c>
      <c r="D80" s="82">
        <v>52625</v>
      </c>
      <c r="E80" s="82">
        <v>49800</v>
      </c>
      <c r="F80" s="82">
        <v>38636</v>
      </c>
      <c r="G80" s="77"/>
    </row>
    <row r="81" spans="1:28" s="78" customFormat="1" ht="12.6" customHeight="1" x14ac:dyDescent="0.3">
      <c r="A81" s="78" t="s">
        <v>103</v>
      </c>
      <c r="B81" s="82">
        <v>5000</v>
      </c>
      <c r="C81" s="82">
        <v>5000</v>
      </c>
      <c r="D81" s="82">
        <v>5000</v>
      </c>
      <c r="E81" s="82">
        <v>5000</v>
      </c>
      <c r="F81" s="82">
        <v>9010</v>
      </c>
      <c r="G81" s="77"/>
    </row>
    <row r="82" spans="1:28" s="78" customFormat="1" ht="12.6" customHeight="1" x14ac:dyDescent="0.3">
      <c r="A82" s="78" t="s">
        <v>441</v>
      </c>
      <c r="B82" s="82">
        <v>22000</v>
      </c>
      <c r="C82" s="82">
        <v>11000</v>
      </c>
      <c r="D82" s="82">
        <v>9000</v>
      </c>
      <c r="E82" s="82">
        <v>5000</v>
      </c>
      <c r="F82" s="82"/>
      <c r="G82" s="77" t="s">
        <v>15</v>
      </c>
    </row>
    <row r="83" spans="1:28" s="78" customFormat="1" ht="12.6" customHeight="1" x14ac:dyDescent="0.3">
      <c r="A83" s="78" t="s">
        <v>67</v>
      </c>
      <c r="B83" s="81">
        <v>850</v>
      </c>
      <c r="C83" s="81">
        <v>850</v>
      </c>
      <c r="D83" s="81">
        <v>850</v>
      </c>
      <c r="E83" s="81">
        <v>850</v>
      </c>
      <c r="F83" s="81">
        <v>542</v>
      </c>
      <c r="G83" s="77"/>
    </row>
    <row r="84" spans="1:28" s="2" customFormat="1" ht="12.6" customHeight="1" x14ac:dyDescent="0.3">
      <c r="A84" s="2" t="s">
        <v>36</v>
      </c>
      <c r="B84" s="110">
        <f t="shared" ref="B84:G84" si="1">SUM(B78:B83)</f>
        <v>355683</v>
      </c>
      <c r="C84" s="110">
        <f t="shared" si="1"/>
        <v>328848</v>
      </c>
      <c r="D84" s="110">
        <f t="shared" si="1"/>
        <v>326848</v>
      </c>
      <c r="E84" s="110">
        <f t="shared" si="1"/>
        <v>321222</v>
      </c>
      <c r="F84" s="110">
        <f t="shared" si="1"/>
        <v>264452</v>
      </c>
      <c r="G84" s="184">
        <f t="shared" si="1"/>
        <v>0</v>
      </c>
    </row>
    <row r="85" spans="1:28" ht="12.6" customHeight="1" x14ac:dyDescent="0.3">
      <c r="B85" s="82"/>
      <c r="C85" s="82"/>
      <c r="D85" s="82"/>
      <c r="E85" s="82"/>
      <c r="F85" s="82"/>
      <c r="G85" s="77"/>
    </row>
    <row r="86" spans="1:28" s="1" customFormat="1" ht="12.6" customHeight="1" x14ac:dyDescent="0.3">
      <c r="A86" s="219" t="s">
        <v>37</v>
      </c>
      <c r="B86" s="218"/>
      <c r="C86" s="218"/>
      <c r="D86" s="218"/>
      <c r="E86" s="109"/>
      <c r="F86" s="109"/>
      <c r="G86" s="105"/>
      <c r="H86" s="2"/>
      <c r="I86" s="2"/>
      <c r="J86" s="2"/>
      <c r="K86" s="2"/>
      <c r="L86" s="2"/>
      <c r="M86" s="2"/>
      <c r="N86" s="2"/>
      <c r="O86" s="2"/>
      <c r="P86" s="2"/>
      <c r="Q86" s="2"/>
      <c r="R86" s="2"/>
      <c r="S86" s="2"/>
      <c r="T86" s="2"/>
      <c r="U86" s="2"/>
      <c r="V86" s="2"/>
      <c r="W86" s="2"/>
      <c r="X86" s="2"/>
      <c r="Y86" s="2"/>
      <c r="Z86" s="2"/>
      <c r="AA86" s="2"/>
      <c r="AB86" s="2"/>
    </row>
    <row r="87" spans="1:28" s="2" customFormat="1" ht="12.6" customHeight="1" x14ac:dyDescent="0.3">
      <c r="A87" s="78" t="s">
        <v>1</v>
      </c>
      <c r="B87" s="79">
        <v>29000</v>
      </c>
      <c r="C87" s="79">
        <v>27255</v>
      </c>
      <c r="D87" s="79">
        <v>27255</v>
      </c>
      <c r="E87" s="79">
        <v>27255</v>
      </c>
      <c r="F87" s="79">
        <v>23643</v>
      </c>
      <c r="G87" s="105"/>
    </row>
    <row r="88" spans="1:28" s="2" customFormat="1" ht="12.6" customHeight="1" x14ac:dyDescent="0.3">
      <c r="A88" s="78" t="s">
        <v>122</v>
      </c>
      <c r="B88" s="79">
        <v>450</v>
      </c>
      <c r="C88" s="79">
        <v>400</v>
      </c>
      <c r="D88" s="79">
        <v>400</v>
      </c>
      <c r="E88" s="79">
        <v>352</v>
      </c>
      <c r="F88" s="79">
        <v>335</v>
      </c>
      <c r="G88" s="105"/>
    </row>
    <row r="89" spans="1:28" s="2" customFormat="1" ht="12.6" customHeight="1" x14ac:dyDescent="0.3">
      <c r="A89" s="78" t="s">
        <v>232</v>
      </c>
      <c r="B89" s="79">
        <v>5800</v>
      </c>
      <c r="C89" s="79">
        <v>5300</v>
      </c>
      <c r="D89" s="79">
        <v>5300</v>
      </c>
      <c r="E89" s="79">
        <v>4712</v>
      </c>
      <c r="F89" s="79">
        <v>4333</v>
      </c>
      <c r="G89" s="105"/>
    </row>
    <row r="90" spans="1:28" s="2" customFormat="1" ht="12.6" customHeight="1" x14ac:dyDescent="0.3">
      <c r="A90" s="78" t="s">
        <v>189</v>
      </c>
      <c r="B90" s="103">
        <v>10100</v>
      </c>
      <c r="C90" s="103">
        <v>8760</v>
      </c>
      <c r="D90" s="103">
        <v>8760</v>
      </c>
      <c r="E90" s="103">
        <v>7475</v>
      </c>
      <c r="F90" s="103">
        <v>7486</v>
      </c>
      <c r="G90" s="105"/>
    </row>
    <row r="91" spans="1:28" s="78" customFormat="1" ht="12.6" customHeight="1" x14ac:dyDescent="0.3">
      <c r="A91" s="78" t="s">
        <v>245</v>
      </c>
      <c r="B91" s="82">
        <f>SUM(B87:B90)</f>
        <v>45350</v>
      </c>
      <c r="C91" s="82">
        <f>SUM(C87:C90)</f>
        <v>41715</v>
      </c>
      <c r="D91" s="82">
        <f>SUM(D87:D90)</f>
        <v>41715</v>
      </c>
      <c r="E91" s="82">
        <f>SUM(E87:E90)</f>
        <v>39794</v>
      </c>
      <c r="F91" s="82">
        <f>SUM(F87:F90)</f>
        <v>35797</v>
      </c>
      <c r="G91" s="77"/>
    </row>
    <row r="92" spans="1:28" s="78" customFormat="1" ht="12.6" customHeight="1" x14ac:dyDescent="0.3">
      <c r="A92" s="82" t="s">
        <v>2</v>
      </c>
      <c r="B92" s="82">
        <v>20292</v>
      </c>
      <c r="C92" s="82">
        <v>22792</v>
      </c>
      <c r="D92" s="82">
        <v>22792</v>
      </c>
      <c r="E92" s="82">
        <v>22792</v>
      </c>
      <c r="F92" s="82">
        <v>14204</v>
      </c>
      <c r="G92" s="77"/>
    </row>
    <row r="93" spans="1:28" s="78" customFormat="1" ht="12.6" customHeight="1" x14ac:dyDescent="0.3">
      <c r="A93" s="78" t="s">
        <v>38</v>
      </c>
      <c r="B93" s="82">
        <v>15000</v>
      </c>
      <c r="C93" s="82">
        <v>17000</v>
      </c>
      <c r="D93" s="82">
        <v>17000</v>
      </c>
      <c r="E93" s="82">
        <v>17000</v>
      </c>
      <c r="F93" s="82">
        <v>7401</v>
      </c>
      <c r="G93" s="77"/>
    </row>
    <row r="94" spans="1:28" s="78" customFormat="1" ht="12.6" customHeight="1" x14ac:dyDescent="0.3">
      <c r="A94" s="78" t="s">
        <v>39</v>
      </c>
      <c r="B94" s="81">
        <v>10000</v>
      </c>
      <c r="C94" s="81">
        <v>10000</v>
      </c>
      <c r="D94" s="81">
        <v>10000</v>
      </c>
      <c r="E94" s="81">
        <v>10000</v>
      </c>
      <c r="F94" s="81">
        <v>15892</v>
      </c>
      <c r="G94" s="77"/>
    </row>
    <row r="95" spans="1:28" s="2" customFormat="1" ht="12.6" customHeight="1" x14ac:dyDescent="0.3">
      <c r="A95" s="2" t="s">
        <v>56</v>
      </c>
      <c r="B95" s="110">
        <f t="shared" ref="B95:G95" si="2">SUM(B91:B94)</f>
        <v>90642</v>
      </c>
      <c r="C95" s="110">
        <f t="shared" si="2"/>
        <v>91507</v>
      </c>
      <c r="D95" s="110">
        <f t="shared" si="2"/>
        <v>91507</v>
      </c>
      <c r="E95" s="110">
        <f t="shared" si="2"/>
        <v>89586</v>
      </c>
      <c r="F95" s="110">
        <f t="shared" si="2"/>
        <v>73294</v>
      </c>
      <c r="G95" s="184">
        <f t="shared" si="2"/>
        <v>0</v>
      </c>
    </row>
    <row r="96" spans="1:28" ht="12.6" customHeight="1" x14ac:dyDescent="0.3">
      <c r="B96" s="79"/>
      <c r="C96" s="79"/>
      <c r="D96" s="79"/>
      <c r="E96" s="79"/>
      <c r="F96" s="79"/>
    </row>
    <row r="97" spans="1:28" s="1" customFormat="1" ht="12.6" customHeight="1" x14ac:dyDescent="0.3">
      <c r="A97" s="219" t="s">
        <v>40</v>
      </c>
      <c r="B97" s="218"/>
      <c r="C97" s="218"/>
      <c r="D97" s="218"/>
      <c r="E97" s="109"/>
      <c r="F97" s="109"/>
      <c r="G97" s="105"/>
      <c r="H97" s="2"/>
      <c r="I97" s="2"/>
      <c r="J97" s="2"/>
      <c r="K97" s="2"/>
      <c r="L97" s="2"/>
      <c r="M97" s="2"/>
      <c r="N97" s="2"/>
      <c r="O97" s="2"/>
      <c r="P97" s="2"/>
      <c r="Q97" s="2"/>
      <c r="R97" s="2"/>
      <c r="S97" s="2"/>
      <c r="T97" s="2"/>
      <c r="U97" s="2"/>
      <c r="V97" s="2"/>
      <c r="W97" s="2"/>
      <c r="X97" s="2"/>
      <c r="Y97" s="2"/>
      <c r="Z97" s="2"/>
      <c r="AA97" s="2"/>
      <c r="AB97" s="2"/>
    </row>
    <row r="98" spans="1:28" ht="14.4" x14ac:dyDescent="0.3">
      <c r="A98" s="78" t="s">
        <v>164</v>
      </c>
      <c r="B98" s="64">
        <v>43596</v>
      </c>
      <c r="C98" s="64">
        <v>41295</v>
      </c>
      <c r="D98" s="64">
        <f>'17-18 wo cmo'!C45</f>
        <v>0</v>
      </c>
      <c r="E98" s="64">
        <v>43186</v>
      </c>
      <c r="F98" s="64">
        <v>48336</v>
      </c>
      <c r="G98" s="76"/>
    </row>
    <row r="99" spans="1:28" ht="14.4" x14ac:dyDescent="0.3">
      <c r="A99" s="78" t="s">
        <v>101</v>
      </c>
      <c r="B99" s="64">
        <v>171593</v>
      </c>
      <c r="C99" s="64">
        <v>168153</v>
      </c>
      <c r="D99" s="64">
        <v>166481</v>
      </c>
      <c r="E99" s="64">
        <v>160607</v>
      </c>
      <c r="F99" s="64">
        <v>161667</v>
      </c>
      <c r="G99" s="76"/>
    </row>
    <row r="100" spans="1:28" ht="14.4" x14ac:dyDescent="0.3">
      <c r="A100" s="78" t="s">
        <v>213</v>
      </c>
      <c r="B100" s="64">
        <v>6000</v>
      </c>
      <c r="C100" s="64">
        <v>4800</v>
      </c>
      <c r="D100" s="64">
        <v>2000</v>
      </c>
      <c r="E100" s="64">
        <v>1263</v>
      </c>
      <c r="F100" s="64">
        <v>2005</v>
      </c>
      <c r="G100" s="64" t="s">
        <v>363</v>
      </c>
    </row>
    <row r="101" spans="1:28" ht="12.6" customHeight="1" x14ac:dyDescent="0.3">
      <c r="A101" s="78" t="s">
        <v>4</v>
      </c>
      <c r="B101" s="64">
        <v>3000</v>
      </c>
      <c r="C101" s="64">
        <v>3000</v>
      </c>
      <c r="D101" s="64">
        <v>3000</v>
      </c>
      <c r="E101" s="64">
        <v>3000</v>
      </c>
      <c r="F101" s="64">
        <v>3412</v>
      </c>
      <c r="G101" s="76"/>
    </row>
    <row r="102" spans="1:28" ht="12.6" customHeight="1" x14ac:dyDescent="0.3">
      <c r="A102" s="78" t="s">
        <v>42</v>
      </c>
      <c r="B102" s="64">
        <v>6000</v>
      </c>
      <c r="C102" s="64">
        <v>6000</v>
      </c>
      <c r="D102" s="64">
        <v>6000</v>
      </c>
      <c r="E102" s="64">
        <v>6000</v>
      </c>
      <c r="F102" s="64">
        <v>5333</v>
      </c>
      <c r="G102" s="76"/>
    </row>
    <row r="103" spans="1:28" ht="12.6" customHeight="1" x14ac:dyDescent="0.3">
      <c r="A103" s="78" t="s">
        <v>5</v>
      </c>
      <c r="B103" s="76">
        <v>0</v>
      </c>
      <c r="C103" s="76">
        <v>0</v>
      </c>
      <c r="D103" s="76">
        <v>0</v>
      </c>
      <c r="E103" s="76">
        <v>0</v>
      </c>
      <c r="F103" s="76">
        <v>620</v>
      </c>
      <c r="G103" s="76"/>
    </row>
    <row r="104" spans="1:28" ht="12.6" customHeight="1" x14ac:dyDescent="0.3">
      <c r="A104" s="78" t="s">
        <v>3</v>
      </c>
      <c r="B104" s="150">
        <v>74900</v>
      </c>
      <c r="C104" s="150">
        <v>74813</v>
      </c>
      <c r="D104" s="150">
        <v>74813</v>
      </c>
      <c r="E104" s="150">
        <v>73675</v>
      </c>
      <c r="F104" s="150">
        <v>69143</v>
      </c>
      <c r="G104" s="76" t="s">
        <v>244</v>
      </c>
    </row>
    <row r="105" spans="1:28" ht="12.6" customHeight="1" x14ac:dyDescent="0.3">
      <c r="A105" s="2" t="s">
        <v>41</v>
      </c>
      <c r="B105" s="110">
        <f t="shared" ref="B105:G105" si="3">SUM(B98:B104)</f>
        <v>305089</v>
      </c>
      <c r="C105" s="110">
        <f t="shared" si="3"/>
        <v>298061</v>
      </c>
      <c r="D105" s="110">
        <f t="shared" si="3"/>
        <v>252294</v>
      </c>
      <c r="E105" s="110">
        <f t="shared" si="3"/>
        <v>287731</v>
      </c>
      <c r="F105" s="110">
        <f t="shared" si="3"/>
        <v>290516</v>
      </c>
      <c r="G105" s="184">
        <f t="shared" si="3"/>
        <v>0</v>
      </c>
    </row>
    <row r="106" spans="1:28" ht="12.6" customHeight="1" x14ac:dyDescent="0.3">
      <c r="A106" s="104"/>
      <c r="B106" s="110"/>
      <c r="C106" s="110"/>
      <c r="D106" s="110"/>
      <c r="E106" s="110"/>
      <c r="F106" s="110"/>
      <c r="G106" s="184"/>
    </row>
    <row r="107" spans="1:28" ht="12.6" customHeight="1" x14ac:dyDescent="0.3">
      <c r="A107" s="219" t="s">
        <v>20</v>
      </c>
      <c r="B107" s="221"/>
      <c r="C107" s="221"/>
      <c r="D107" s="221"/>
      <c r="E107" s="101"/>
      <c r="F107" s="101"/>
    </row>
    <row r="108" spans="1:28" s="78" customFormat="1" ht="12.6" customHeight="1" x14ac:dyDescent="0.3">
      <c r="A108" s="78" t="s">
        <v>1</v>
      </c>
      <c r="B108" s="78">
        <v>186050</v>
      </c>
      <c r="C108" s="78">
        <v>176479</v>
      </c>
      <c r="D108" s="78">
        <v>176479</v>
      </c>
      <c r="E108" s="78">
        <v>176479</v>
      </c>
      <c r="F108" s="78">
        <v>156369</v>
      </c>
      <c r="G108" s="79"/>
    </row>
    <row r="109" spans="1:28" s="78" customFormat="1" ht="12.6" customHeight="1" x14ac:dyDescent="0.3">
      <c r="A109" s="78" t="s">
        <v>122</v>
      </c>
      <c r="B109" s="78">
        <v>3000</v>
      </c>
      <c r="C109" s="78">
        <v>2800</v>
      </c>
      <c r="D109" s="78">
        <v>2800</v>
      </c>
      <c r="E109" s="78">
        <v>2559</v>
      </c>
      <c r="F109" s="78">
        <v>2254</v>
      </c>
      <c r="G109" s="79"/>
    </row>
    <row r="110" spans="1:28" s="78" customFormat="1" ht="12.6" customHeight="1" x14ac:dyDescent="0.3">
      <c r="A110" s="78" t="s">
        <v>232</v>
      </c>
      <c r="B110" s="78">
        <v>37100</v>
      </c>
      <c r="C110" s="78">
        <v>34237</v>
      </c>
      <c r="D110" s="78">
        <v>34237</v>
      </c>
      <c r="E110" s="78">
        <v>34237</v>
      </c>
      <c r="F110" s="78">
        <v>29126</v>
      </c>
      <c r="G110" s="79"/>
    </row>
    <row r="111" spans="1:28" s="78" customFormat="1" ht="12.6" customHeight="1" x14ac:dyDescent="0.3">
      <c r="A111" s="78" t="s">
        <v>189</v>
      </c>
      <c r="B111" s="79">
        <f>'17-18 wo cmo'!C52</f>
        <v>32300</v>
      </c>
      <c r="C111" s="79">
        <f>'17-18 wo cmo'!B52</f>
        <v>40300</v>
      </c>
      <c r="D111" s="79">
        <f>'17-18 wo cmo'!C52</f>
        <v>32300</v>
      </c>
      <c r="E111" s="79">
        <v>29900</v>
      </c>
      <c r="F111" s="79">
        <v>18473</v>
      </c>
      <c r="G111" s="79"/>
    </row>
    <row r="112" spans="1:28" s="78" customFormat="1" ht="12.6" customHeight="1" x14ac:dyDescent="0.3">
      <c r="A112" s="78" t="s">
        <v>271</v>
      </c>
      <c r="B112" s="103">
        <v>18000</v>
      </c>
      <c r="C112" s="103">
        <v>13000</v>
      </c>
      <c r="D112" s="103">
        <v>13000</v>
      </c>
      <c r="E112" s="103">
        <v>13000</v>
      </c>
      <c r="F112" s="103">
        <v>12380</v>
      </c>
      <c r="G112" s="79"/>
    </row>
    <row r="113" spans="1:28" ht="13.5" customHeight="1" x14ac:dyDescent="0.3">
      <c r="A113" s="78" t="s">
        <v>282</v>
      </c>
      <c r="B113" s="78">
        <f>SUM(B108:B112)</f>
        <v>276450</v>
      </c>
      <c r="C113" s="78">
        <f>SUM(C108:C112)</f>
        <v>266816</v>
      </c>
      <c r="D113" s="78">
        <f>SUM(D108:D112)</f>
        <v>258816</v>
      </c>
      <c r="E113" s="78">
        <f>SUM(E108:E112)</f>
        <v>256175</v>
      </c>
      <c r="F113" s="78">
        <f>SUM(F108:F112)</f>
        <v>218602</v>
      </c>
    </row>
    <row r="114" spans="1:28" ht="12.6" customHeight="1" x14ac:dyDescent="0.3">
      <c r="A114" s="78" t="s">
        <v>43</v>
      </c>
      <c r="B114" s="78">
        <v>10000</v>
      </c>
      <c r="C114" s="78">
        <v>6000</v>
      </c>
      <c r="D114" s="78">
        <v>6000</v>
      </c>
      <c r="E114" s="78">
        <v>3000</v>
      </c>
      <c r="F114" s="78">
        <v>4963</v>
      </c>
    </row>
    <row r="115" spans="1:28" ht="12.6" customHeight="1" x14ac:dyDescent="0.3">
      <c r="A115" s="78" t="s">
        <v>286</v>
      </c>
      <c r="B115" s="76">
        <v>1000</v>
      </c>
      <c r="C115" s="76">
        <v>1365</v>
      </c>
      <c r="D115" s="76">
        <v>1365</v>
      </c>
      <c r="E115" s="76">
        <v>1365</v>
      </c>
      <c r="F115" s="76">
        <v>1655</v>
      </c>
      <c r="G115" s="76"/>
    </row>
    <row r="116" spans="1:28" ht="12.75" customHeight="1" x14ac:dyDescent="0.3">
      <c r="A116" s="78" t="s">
        <v>45</v>
      </c>
      <c r="B116" s="78">
        <v>500</v>
      </c>
      <c r="C116" s="78">
        <v>500</v>
      </c>
      <c r="D116" s="78">
        <v>500</v>
      </c>
      <c r="E116" s="78">
        <v>500</v>
      </c>
      <c r="F116" s="78">
        <v>684</v>
      </c>
    </row>
    <row r="117" spans="1:28" ht="12.75" customHeight="1" x14ac:dyDescent="0.3">
      <c r="A117" s="78" t="s">
        <v>258</v>
      </c>
      <c r="B117" s="78">
        <v>0</v>
      </c>
      <c r="C117" s="78">
        <v>1500</v>
      </c>
      <c r="D117" s="78">
        <v>1500</v>
      </c>
      <c r="E117" s="78">
        <v>1500</v>
      </c>
      <c r="F117" s="78"/>
    </row>
    <row r="118" spans="1:28" ht="12.6" customHeight="1" x14ac:dyDescent="0.3">
      <c r="A118" s="78" t="s">
        <v>106</v>
      </c>
      <c r="B118" s="78">
        <v>3000</v>
      </c>
      <c r="C118" s="78">
        <v>3000</v>
      </c>
      <c r="D118" s="78">
        <v>3000</v>
      </c>
      <c r="E118" s="78">
        <v>3000</v>
      </c>
      <c r="F118" s="78">
        <v>4548</v>
      </c>
    </row>
    <row r="119" spans="1:28" s="2" customFormat="1" ht="12.6" customHeight="1" x14ac:dyDescent="0.3">
      <c r="A119" s="78" t="s">
        <v>74</v>
      </c>
      <c r="B119" s="103">
        <v>2000</v>
      </c>
      <c r="C119" s="103">
        <v>2000</v>
      </c>
      <c r="D119" s="103">
        <v>2000</v>
      </c>
      <c r="E119" s="103">
        <v>2000</v>
      </c>
      <c r="F119" s="103">
        <v>2000</v>
      </c>
      <c r="G119" s="79"/>
    </row>
    <row r="120" spans="1:28" s="104" customFormat="1" ht="12.6" customHeight="1" x14ac:dyDescent="0.3">
      <c r="A120" s="2" t="s">
        <v>21</v>
      </c>
      <c r="B120" s="2">
        <f t="shared" ref="B120:G120" si="4">SUM(B113:B119)</f>
        <v>292950</v>
      </c>
      <c r="C120" s="2">
        <f t="shared" si="4"/>
        <v>281181</v>
      </c>
      <c r="D120" s="2">
        <f t="shared" si="4"/>
        <v>273181</v>
      </c>
      <c r="E120" s="2">
        <f t="shared" si="4"/>
        <v>267540</v>
      </c>
      <c r="F120" s="2">
        <f t="shared" si="4"/>
        <v>232452</v>
      </c>
      <c r="G120" s="105">
        <f t="shared" si="4"/>
        <v>0</v>
      </c>
      <c r="H120" s="2"/>
      <c r="I120" s="2"/>
      <c r="J120" s="2"/>
      <c r="K120" s="2"/>
      <c r="L120" s="2"/>
      <c r="M120" s="2"/>
      <c r="N120" s="2"/>
      <c r="O120" s="2"/>
      <c r="P120" s="2"/>
      <c r="Q120" s="2"/>
      <c r="R120" s="2"/>
      <c r="S120" s="2"/>
      <c r="T120" s="2"/>
      <c r="U120" s="2"/>
      <c r="V120" s="2"/>
      <c r="W120" s="2"/>
      <c r="X120" s="2"/>
      <c r="Y120" s="2"/>
      <c r="Z120" s="2"/>
      <c r="AA120" s="2"/>
      <c r="AB120" s="2"/>
    </row>
    <row r="121" spans="1:28" s="101" customFormat="1" ht="12.6" customHeight="1" x14ac:dyDescent="0.3">
      <c r="A121" s="104"/>
      <c r="B121" s="110"/>
      <c r="C121" s="110"/>
      <c r="D121" s="110"/>
      <c r="E121" s="110"/>
      <c r="F121" s="110"/>
      <c r="G121" s="184"/>
      <c r="H121" s="78"/>
      <c r="I121" s="78"/>
      <c r="J121" s="78"/>
      <c r="K121" s="78"/>
      <c r="L121" s="78"/>
      <c r="M121" s="78"/>
      <c r="N121" s="78"/>
      <c r="O121" s="78"/>
      <c r="P121" s="78"/>
      <c r="Q121" s="78"/>
      <c r="R121" s="78"/>
      <c r="S121" s="78"/>
      <c r="T121" s="78"/>
      <c r="U121" s="78"/>
      <c r="V121" s="78"/>
      <c r="W121" s="78"/>
      <c r="X121" s="78"/>
      <c r="Y121" s="78"/>
      <c r="Z121" s="78"/>
      <c r="AA121" s="78"/>
      <c r="AB121" s="78"/>
    </row>
    <row r="122" spans="1:28" s="78" customFormat="1" ht="13.5" customHeight="1" x14ac:dyDescent="0.3">
      <c r="A122" s="219" t="s">
        <v>51</v>
      </c>
      <c r="B122" s="221"/>
      <c r="C122" s="221"/>
      <c r="D122" s="221"/>
      <c r="E122" s="101"/>
      <c r="F122" s="101"/>
      <c r="G122" s="79"/>
    </row>
    <row r="123" spans="1:28" s="78" customFormat="1" ht="12" customHeight="1" x14ac:dyDescent="0.3">
      <c r="A123" s="78" t="s">
        <v>51</v>
      </c>
      <c r="B123" s="78">
        <v>38142</v>
      </c>
      <c r="C123" s="78">
        <v>35694</v>
      </c>
      <c r="D123" s="78">
        <f>'17-18 wo cmo'!C68</f>
        <v>0</v>
      </c>
      <c r="E123" s="78">
        <v>34542</v>
      </c>
      <c r="F123" s="78">
        <v>31939</v>
      </c>
      <c r="G123" s="79"/>
    </row>
    <row r="124" spans="1:28" s="78" customFormat="1" ht="12.6" customHeight="1" x14ac:dyDescent="0.3">
      <c r="A124" s="102" t="s">
        <v>0</v>
      </c>
      <c r="B124" s="78">
        <v>300</v>
      </c>
      <c r="C124" s="78">
        <v>300</v>
      </c>
      <c r="D124" s="78">
        <v>600</v>
      </c>
      <c r="E124" s="78">
        <v>600</v>
      </c>
      <c r="F124" s="78">
        <v>754</v>
      </c>
      <c r="G124" s="79"/>
    </row>
    <row r="125" spans="1:28" s="78" customFormat="1" ht="12.6" customHeight="1" x14ac:dyDescent="0.3">
      <c r="A125" s="111" t="s">
        <v>71</v>
      </c>
      <c r="B125" s="79">
        <v>1000</v>
      </c>
      <c r="C125" s="79">
        <v>1500</v>
      </c>
      <c r="D125" s="79">
        <v>1500</v>
      </c>
      <c r="E125" s="79">
        <v>1500</v>
      </c>
      <c r="F125" s="79">
        <v>112</v>
      </c>
      <c r="G125" s="79"/>
    </row>
    <row r="126" spans="1:28" s="78" customFormat="1" ht="12.6" customHeight="1" x14ac:dyDescent="0.3">
      <c r="A126" s="111" t="s">
        <v>7</v>
      </c>
      <c r="B126" s="79">
        <v>500</v>
      </c>
      <c r="C126" s="79">
        <v>500</v>
      </c>
      <c r="D126" s="79">
        <v>1000</v>
      </c>
      <c r="E126" s="79">
        <v>1000</v>
      </c>
      <c r="F126" s="79">
        <v>122</v>
      </c>
      <c r="G126" s="79"/>
    </row>
    <row r="127" spans="1:28" s="2" customFormat="1" ht="12.6" customHeight="1" x14ac:dyDescent="0.3">
      <c r="A127" s="102" t="s">
        <v>44</v>
      </c>
      <c r="B127" s="103">
        <v>500</v>
      </c>
      <c r="C127" s="103">
        <v>500</v>
      </c>
      <c r="D127" s="103">
        <v>2600</v>
      </c>
      <c r="E127" s="103">
        <v>2600</v>
      </c>
      <c r="F127" s="103">
        <v>3069</v>
      </c>
      <c r="G127" s="79"/>
    </row>
    <row r="128" spans="1:28" s="104" customFormat="1" ht="12.6" customHeight="1" x14ac:dyDescent="0.3">
      <c r="A128" s="104" t="s">
        <v>32</v>
      </c>
      <c r="B128" s="2">
        <f t="shared" ref="B128:G128" si="5">SUM(B123:B127)</f>
        <v>40442</v>
      </c>
      <c r="C128" s="2">
        <f t="shared" si="5"/>
        <v>38494</v>
      </c>
      <c r="D128" s="2">
        <f t="shared" si="5"/>
        <v>5700</v>
      </c>
      <c r="E128" s="2">
        <f t="shared" si="5"/>
        <v>40242</v>
      </c>
      <c r="F128" s="2">
        <f t="shared" si="5"/>
        <v>35996</v>
      </c>
      <c r="G128" s="105">
        <f t="shared" si="5"/>
        <v>0</v>
      </c>
      <c r="H128" s="2"/>
      <c r="I128" s="2"/>
      <c r="J128" s="2"/>
      <c r="K128" s="2"/>
      <c r="L128" s="2"/>
      <c r="M128" s="2"/>
      <c r="N128" s="2"/>
      <c r="O128" s="2"/>
      <c r="P128" s="2"/>
      <c r="Q128" s="2"/>
      <c r="R128" s="2"/>
      <c r="S128" s="2"/>
      <c r="T128" s="2"/>
      <c r="U128" s="2"/>
      <c r="V128" s="2"/>
      <c r="W128" s="2"/>
      <c r="X128" s="2"/>
      <c r="Y128" s="2"/>
      <c r="Z128" s="2"/>
      <c r="AA128" s="2"/>
      <c r="AB128" s="2"/>
    </row>
    <row r="129" spans="1:28" s="101" customFormat="1" ht="12.6" customHeight="1" x14ac:dyDescent="0.3">
      <c r="A129" s="102"/>
      <c r="B129" s="78"/>
      <c r="C129" s="78"/>
      <c r="D129" s="78"/>
      <c r="E129" s="78"/>
      <c r="F129" s="78"/>
      <c r="G129" s="79"/>
      <c r="H129" s="78"/>
      <c r="I129" s="78"/>
      <c r="J129" s="78"/>
      <c r="K129" s="78"/>
      <c r="L129" s="78"/>
      <c r="M129" s="78"/>
      <c r="N129" s="78"/>
      <c r="O129" s="78"/>
      <c r="P129" s="78"/>
      <c r="Q129" s="78"/>
      <c r="R129" s="78"/>
      <c r="S129" s="78"/>
      <c r="T129" s="78"/>
      <c r="U129" s="78"/>
      <c r="V129" s="78"/>
      <c r="W129" s="78"/>
      <c r="X129" s="78"/>
      <c r="Y129" s="78"/>
      <c r="Z129" s="78"/>
      <c r="AA129" s="78"/>
      <c r="AB129" s="78"/>
    </row>
    <row r="130" spans="1:28" ht="14.4" x14ac:dyDescent="0.3">
      <c r="A130" s="219" t="s">
        <v>52</v>
      </c>
      <c r="B130" s="221"/>
      <c r="C130" s="221"/>
      <c r="D130" s="221"/>
      <c r="E130" s="101"/>
      <c r="F130" s="101"/>
    </row>
    <row r="131" spans="1:28" ht="14.4" x14ac:dyDescent="0.3">
      <c r="A131" s="78" t="s">
        <v>293</v>
      </c>
      <c r="B131" s="64">
        <v>35859</v>
      </c>
      <c r="C131" s="64">
        <v>34191</v>
      </c>
      <c r="D131" s="64">
        <f>'17-18 wo cmo'!C75</f>
        <v>0</v>
      </c>
      <c r="E131" s="64">
        <v>27241</v>
      </c>
      <c r="F131" s="64">
        <v>28395</v>
      </c>
      <c r="G131" s="76"/>
    </row>
    <row r="132" spans="1:28" ht="14.4" x14ac:dyDescent="0.3">
      <c r="A132" s="78" t="s">
        <v>154</v>
      </c>
      <c r="B132" s="64">
        <v>55000</v>
      </c>
      <c r="C132" s="64">
        <v>55000</v>
      </c>
      <c r="D132" s="64">
        <v>55000</v>
      </c>
      <c r="E132" s="64">
        <v>55000</v>
      </c>
      <c r="F132" s="64">
        <v>39740</v>
      </c>
      <c r="G132" s="76"/>
    </row>
    <row r="133" spans="1:28" ht="14.4" x14ac:dyDescent="0.3">
      <c r="A133" s="79" t="s">
        <v>10</v>
      </c>
      <c r="B133" s="79">
        <v>5000</v>
      </c>
      <c r="C133" s="79">
        <v>5000</v>
      </c>
      <c r="D133" s="79">
        <v>5000</v>
      </c>
      <c r="E133" s="79">
        <v>5000</v>
      </c>
      <c r="F133" s="79">
        <v>536</v>
      </c>
    </row>
    <row r="134" spans="1:28" ht="12.6" customHeight="1" x14ac:dyDescent="0.3">
      <c r="A134" s="78" t="s">
        <v>8</v>
      </c>
      <c r="B134" s="78">
        <v>3700</v>
      </c>
      <c r="C134" s="78">
        <v>3700</v>
      </c>
      <c r="D134" s="78">
        <v>3700</v>
      </c>
      <c r="E134" s="78">
        <v>3700</v>
      </c>
      <c r="F134" s="78">
        <v>1267</v>
      </c>
    </row>
    <row r="135" spans="1:28" ht="12.6" customHeight="1" x14ac:dyDescent="0.3">
      <c r="A135" s="78" t="s">
        <v>46</v>
      </c>
      <c r="B135" s="78">
        <v>20000</v>
      </c>
      <c r="C135" s="78">
        <v>27500</v>
      </c>
      <c r="D135" s="78">
        <v>27500</v>
      </c>
      <c r="E135" s="78">
        <v>27500</v>
      </c>
      <c r="F135" s="78">
        <v>23467</v>
      </c>
    </row>
    <row r="136" spans="1:28" ht="12.6" customHeight="1" x14ac:dyDescent="0.3">
      <c r="A136" s="78" t="s">
        <v>66</v>
      </c>
      <c r="B136" s="79">
        <v>10000</v>
      </c>
      <c r="C136" s="79">
        <v>11000</v>
      </c>
      <c r="D136" s="79">
        <v>11000</v>
      </c>
      <c r="E136" s="79">
        <v>11000</v>
      </c>
      <c r="F136" s="79">
        <v>9634</v>
      </c>
    </row>
    <row r="137" spans="1:28" ht="15" customHeight="1" x14ac:dyDescent="0.3">
      <c r="A137" s="78" t="s">
        <v>65</v>
      </c>
      <c r="B137" s="79">
        <v>20000</v>
      </c>
      <c r="C137" s="79">
        <v>20000</v>
      </c>
      <c r="D137" s="79">
        <v>20000</v>
      </c>
      <c r="E137" s="79">
        <v>20000</v>
      </c>
      <c r="F137" s="79">
        <v>45920</v>
      </c>
      <c r="G137" s="163" t="s">
        <v>15</v>
      </c>
    </row>
    <row r="138" spans="1:28" ht="12.6" customHeight="1" x14ac:dyDescent="0.3">
      <c r="A138" s="78" t="s">
        <v>9</v>
      </c>
      <c r="B138" s="103">
        <v>84000</v>
      </c>
      <c r="C138" s="103">
        <v>84000</v>
      </c>
      <c r="D138" s="103">
        <v>85000</v>
      </c>
      <c r="E138" s="103">
        <v>85000</v>
      </c>
      <c r="F138" s="103">
        <v>75191</v>
      </c>
    </row>
    <row r="139" spans="1:28" s="111" customFormat="1" ht="12.6" customHeight="1" x14ac:dyDescent="0.3">
      <c r="A139" s="2" t="s">
        <v>33</v>
      </c>
      <c r="B139" s="2">
        <f t="shared" ref="B139:G139" si="6">SUM(B131:B138)</f>
        <v>233559</v>
      </c>
      <c r="C139" s="2">
        <f t="shared" si="6"/>
        <v>240391</v>
      </c>
      <c r="D139" s="2">
        <f t="shared" si="6"/>
        <v>207200</v>
      </c>
      <c r="E139" s="2">
        <f t="shared" si="6"/>
        <v>234441</v>
      </c>
      <c r="F139" s="2">
        <f t="shared" si="6"/>
        <v>224150</v>
      </c>
      <c r="G139" s="105">
        <f t="shared" si="6"/>
        <v>0</v>
      </c>
      <c r="H139" s="79"/>
      <c r="I139" s="79"/>
      <c r="J139" s="79"/>
      <c r="K139" s="79"/>
      <c r="L139" s="79"/>
      <c r="M139" s="79"/>
      <c r="N139" s="79"/>
      <c r="O139" s="79"/>
      <c r="P139" s="79"/>
      <c r="Q139" s="79"/>
      <c r="R139" s="79"/>
      <c r="S139" s="79"/>
      <c r="T139" s="79"/>
      <c r="U139" s="79"/>
      <c r="V139" s="79"/>
      <c r="W139" s="79"/>
      <c r="X139" s="79"/>
      <c r="Y139" s="79"/>
      <c r="Z139" s="79"/>
      <c r="AA139" s="79"/>
      <c r="AB139" s="79"/>
    </row>
    <row r="140" spans="1:28" s="78" customFormat="1" ht="12.6" customHeight="1" x14ac:dyDescent="0.3">
      <c r="G140" s="79"/>
    </row>
    <row r="141" spans="1:28" ht="12.6" customHeight="1" x14ac:dyDescent="0.3">
      <c r="A141" s="219" t="s">
        <v>53</v>
      </c>
      <c r="B141" s="221"/>
      <c r="C141" s="221"/>
      <c r="D141" s="221"/>
      <c r="E141" s="101"/>
      <c r="F141" s="101"/>
    </row>
    <row r="142" spans="1:28" ht="12.6" customHeight="1" x14ac:dyDescent="0.3">
      <c r="A142" s="78" t="s">
        <v>173</v>
      </c>
      <c r="B142" s="102">
        <v>44280</v>
      </c>
      <c r="C142" s="102">
        <f>'17-18 wo cmo'!B97</f>
        <v>0</v>
      </c>
      <c r="D142" s="102">
        <f>'17-18 wo cmo'!C97</f>
        <v>0</v>
      </c>
      <c r="E142" s="102">
        <v>44280</v>
      </c>
      <c r="F142" s="102">
        <v>33111</v>
      </c>
    </row>
    <row r="143" spans="1:28" s="78" customFormat="1" ht="12.6" customHeight="1" x14ac:dyDescent="0.3">
      <c r="A143" s="78" t="s">
        <v>87</v>
      </c>
      <c r="B143" s="79">
        <v>50000</v>
      </c>
      <c r="C143" s="79">
        <v>50000</v>
      </c>
      <c r="D143" s="79">
        <v>50000</v>
      </c>
      <c r="E143" s="79">
        <v>50000</v>
      </c>
      <c r="F143" s="79">
        <v>66506</v>
      </c>
      <c r="G143" s="79" t="s">
        <v>15</v>
      </c>
    </row>
    <row r="144" spans="1:28" ht="12.6" customHeight="1" x14ac:dyDescent="0.3">
      <c r="A144" s="78" t="s">
        <v>47</v>
      </c>
      <c r="B144" s="77">
        <v>17000</v>
      </c>
      <c r="C144" s="77">
        <v>17000</v>
      </c>
      <c r="D144" s="77">
        <v>17000</v>
      </c>
      <c r="E144" s="79">
        <v>15000</v>
      </c>
      <c r="F144" s="79">
        <v>12736</v>
      </c>
      <c r="H144" s="172" t="s">
        <v>15</v>
      </c>
    </row>
    <row r="145" spans="1:8" s="78" customFormat="1" ht="14.4" x14ac:dyDescent="0.3">
      <c r="A145" s="78" t="s">
        <v>11</v>
      </c>
      <c r="B145" s="103">
        <v>30000</v>
      </c>
      <c r="C145" s="103">
        <v>30000</v>
      </c>
      <c r="D145" s="103">
        <v>30000</v>
      </c>
      <c r="E145" s="103">
        <v>30000</v>
      </c>
      <c r="F145" s="103">
        <v>15481</v>
      </c>
      <c r="G145" s="79"/>
    </row>
    <row r="146" spans="1:8" s="78" customFormat="1" ht="12.6" customHeight="1" x14ac:dyDescent="0.3">
      <c r="A146" s="2" t="s">
        <v>34</v>
      </c>
      <c r="B146" s="105">
        <f t="shared" ref="B146:G146" si="7">SUM(B142:B145)</f>
        <v>141280</v>
      </c>
      <c r="C146" s="105">
        <f t="shared" si="7"/>
        <v>97000</v>
      </c>
      <c r="D146" s="105">
        <f t="shared" si="7"/>
        <v>97000</v>
      </c>
      <c r="E146" s="105">
        <f t="shared" si="7"/>
        <v>139280</v>
      </c>
      <c r="F146" s="105">
        <f t="shared" si="7"/>
        <v>127834</v>
      </c>
      <c r="G146" s="105">
        <f t="shared" si="7"/>
        <v>0</v>
      </c>
    </row>
    <row r="147" spans="1:8" s="78" customFormat="1" ht="14.4" x14ac:dyDescent="0.3">
      <c r="A147" s="102"/>
      <c r="B147" s="79"/>
      <c r="C147" s="79"/>
      <c r="D147" s="79"/>
      <c r="E147" s="79"/>
      <c r="F147" s="79"/>
      <c r="G147" s="79"/>
      <c r="H147" s="79"/>
    </row>
    <row r="148" spans="1:8" s="78" customFormat="1" ht="14.25" customHeight="1" x14ac:dyDescent="0.3">
      <c r="A148" s="219" t="s">
        <v>72</v>
      </c>
      <c r="B148" s="218">
        <v>343000</v>
      </c>
      <c r="C148" s="218">
        <v>345835</v>
      </c>
      <c r="D148" s="218">
        <v>345000</v>
      </c>
      <c r="E148" s="109">
        <f>358000-2000</f>
        <v>356000</v>
      </c>
      <c r="F148" s="109">
        <v>370535</v>
      </c>
      <c r="G148" s="105" t="s">
        <v>344</v>
      </c>
      <c r="H148" s="79"/>
    </row>
    <row r="149" spans="1:8" s="78" customFormat="1" ht="12.75" customHeight="1" x14ac:dyDescent="0.3">
      <c r="A149" s="102"/>
      <c r="B149" s="79"/>
      <c r="C149" s="79"/>
      <c r="D149" s="79"/>
      <c r="E149" s="79"/>
      <c r="F149" s="79"/>
      <c r="G149" s="79" t="s">
        <v>439</v>
      </c>
      <c r="H149" s="79"/>
    </row>
    <row r="150" spans="1:8" s="78" customFormat="1" ht="12.6" customHeight="1" x14ac:dyDescent="0.3">
      <c r="A150" s="219" t="s">
        <v>236</v>
      </c>
      <c r="B150" s="218">
        <v>0</v>
      </c>
      <c r="C150" s="218">
        <v>0</v>
      </c>
      <c r="D150" s="218">
        <v>0</v>
      </c>
      <c r="E150" s="109">
        <v>10000</v>
      </c>
      <c r="F150" s="109">
        <v>8888</v>
      </c>
      <c r="G150" s="105"/>
      <c r="H150" s="79"/>
    </row>
    <row r="151" spans="1:8" s="78" customFormat="1" ht="12.75" customHeight="1" x14ac:dyDescent="0.3">
      <c r="A151" s="102"/>
      <c r="B151" s="79"/>
      <c r="C151" s="79"/>
      <c r="D151" s="79"/>
      <c r="E151" s="79"/>
      <c r="F151" s="79"/>
      <c r="G151" s="79"/>
      <c r="H151" s="79"/>
    </row>
    <row r="152" spans="1:8" s="78" customFormat="1" ht="12.6" customHeight="1" x14ac:dyDescent="0.3">
      <c r="A152" s="219" t="s">
        <v>70</v>
      </c>
      <c r="B152" s="218">
        <v>10000</v>
      </c>
      <c r="C152" s="218">
        <v>10000</v>
      </c>
      <c r="D152" s="218">
        <v>10000</v>
      </c>
      <c r="E152" s="109">
        <v>10000</v>
      </c>
      <c r="F152" s="109">
        <v>8888</v>
      </c>
      <c r="G152" s="105"/>
      <c r="H152" s="79"/>
    </row>
    <row r="153" spans="1:8" s="79" customFormat="1" ht="12.6" customHeight="1" x14ac:dyDescent="0.3">
      <c r="A153" s="78"/>
    </row>
    <row r="154" spans="1:8" s="79" customFormat="1" ht="12.6" customHeight="1" x14ac:dyDescent="0.3">
      <c r="A154" s="2" t="s">
        <v>165</v>
      </c>
    </row>
    <row r="155" spans="1:8" s="79" customFormat="1" ht="12.6" customHeight="1" x14ac:dyDescent="0.3">
      <c r="A155" s="78" t="s">
        <v>166</v>
      </c>
      <c r="F155" s="79">
        <v>57731</v>
      </c>
    </row>
    <row r="156" spans="1:8" s="79" customFormat="1" ht="12.6" customHeight="1" x14ac:dyDescent="0.3">
      <c r="A156" s="78" t="s">
        <v>167</v>
      </c>
      <c r="F156" s="79">
        <v>13700</v>
      </c>
    </row>
    <row r="157" spans="1:8" s="79" customFormat="1" ht="12.6" customHeight="1" x14ac:dyDescent="0.3">
      <c r="A157" s="78" t="s">
        <v>302</v>
      </c>
      <c r="F157" s="79">
        <v>1260</v>
      </c>
    </row>
    <row r="158" spans="1:8" s="79" customFormat="1" ht="12.6" customHeight="1" x14ac:dyDescent="0.3">
      <c r="A158" s="78" t="s">
        <v>202</v>
      </c>
      <c r="F158" s="79">
        <v>12730</v>
      </c>
    </row>
    <row r="159" spans="1:8" s="79" customFormat="1" ht="12.6" customHeight="1" x14ac:dyDescent="0.3">
      <c r="A159" s="78" t="s">
        <v>203</v>
      </c>
      <c r="F159" s="79">
        <v>413</v>
      </c>
    </row>
    <row r="160" spans="1:8" s="79" customFormat="1" ht="12.6" customHeight="1" x14ac:dyDescent="0.3">
      <c r="A160" s="78" t="s">
        <v>294</v>
      </c>
      <c r="F160" s="79">
        <v>18931</v>
      </c>
    </row>
    <row r="161" spans="1:8" s="79" customFormat="1" ht="12.6" customHeight="1" x14ac:dyDescent="0.3">
      <c r="A161" s="78" t="s">
        <v>168</v>
      </c>
      <c r="F161" s="79">
        <v>499</v>
      </c>
    </row>
    <row r="162" spans="1:8" s="79" customFormat="1" ht="12.6" customHeight="1" x14ac:dyDescent="0.3">
      <c r="A162" s="78" t="s">
        <v>169</v>
      </c>
      <c r="F162" s="79">
        <v>6678</v>
      </c>
    </row>
    <row r="163" spans="1:8" s="79" customFormat="1" ht="14.25" customHeight="1" x14ac:dyDescent="0.3">
      <c r="A163" s="78" t="s">
        <v>170</v>
      </c>
      <c r="F163" s="79">
        <v>1336</v>
      </c>
    </row>
    <row r="164" spans="1:8" s="79" customFormat="1" ht="12.6" customHeight="1" x14ac:dyDescent="0.3">
      <c r="A164" s="78" t="s">
        <v>171</v>
      </c>
      <c r="F164" s="79">
        <v>12552</v>
      </c>
    </row>
    <row r="165" spans="1:8" s="79" customFormat="1" ht="12.6" customHeight="1" x14ac:dyDescent="0.3">
      <c r="A165" s="78" t="s">
        <v>172</v>
      </c>
      <c r="B165" s="103"/>
      <c r="C165" s="103"/>
      <c r="D165" s="103"/>
      <c r="E165" s="103"/>
      <c r="F165" s="103">
        <v>520</v>
      </c>
    </row>
    <row r="166" spans="1:8" s="78" customFormat="1" ht="12.6" customHeight="1" x14ac:dyDescent="0.3">
      <c r="A166" s="219" t="s">
        <v>24</v>
      </c>
      <c r="B166" s="219">
        <v>138706</v>
      </c>
      <c r="C166" s="219">
        <v>138706</v>
      </c>
      <c r="D166" s="219">
        <v>138706</v>
      </c>
      <c r="E166" s="1">
        <v>138706</v>
      </c>
      <c r="F166" s="1">
        <f>SUM(F155:F165)</f>
        <v>126350</v>
      </c>
      <c r="G166" s="105" t="s">
        <v>15</v>
      </c>
      <c r="H166" s="79"/>
    </row>
    <row r="167" spans="1:8" s="78" customFormat="1" ht="12.6" customHeight="1" x14ac:dyDescent="0.3">
      <c r="A167" s="2"/>
      <c r="B167" s="2"/>
      <c r="C167" s="2"/>
      <c r="D167" s="2"/>
      <c r="E167" s="2"/>
      <c r="F167" s="2"/>
      <c r="G167" s="105"/>
      <c r="H167" s="79"/>
    </row>
    <row r="168" spans="1:8" s="78" customFormat="1" ht="14.25" customHeight="1" x14ac:dyDescent="0.3">
      <c r="A168" s="219" t="s">
        <v>105</v>
      </c>
      <c r="B168" s="220">
        <v>0</v>
      </c>
      <c r="C168" s="220">
        <v>0</v>
      </c>
      <c r="D168" s="220">
        <v>0</v>
      </c>
      <c r="E168" s="112">
        <v>0</v>
      </c>
      <c r="F168" s="112"/>
      <c r="G168" s="105">
        <v>0</v>
      </c>
      <c r="H168" s="79"/>
    </row>
    <row r="169" spans="1:8" s="78" customFormat="1" ht="12.6" customHeight="1" x14ac:dyDescent="0.3">
      <c r="A169" s="2"/>
      <c r="B169" s="105"/>
      <c r="C169" s="105"/>
      <c r="D169" s="105"/>
      <c r="E169" s="105"/>
      <c r="F169" s="105"/>
      <c r="G169" s="105"/>
      <c r="H169" s="79"/>
    </row>
    <row r="170" spans="1:8" s="78" customFormat="1" ht="15" customHeight="1" x14ac:dyDescent="0.3">
      <c r="A170" s="219" t="s">
        <v>28</v>
      </c>
      <c r="B170" s="220">
        <f>+B166+B152+B148+B146+B139+B128+B120+B105+B95+B84+B70+B168</f>
        <v>3641800</v>
      </c>
      <c r="C170" s="220">
        <f>+C166+C152+C148+C146+C139+C128+C120+C105+C95+C84+C70+C168</f>
        <v>3434390</v>
      </c>
      <c r="D170" s="220">
        <f>+D166+D152+D148+D146+D139+D128+D120+D105+D95+D84+D70+D168</f>
        <v>3311803</v>
      </c>
      <c r="E170" s="112">
        <f>+E166+E152+E148+E146+E139+E128+E120+E105+E95+E84+E70+E168</f>
        <v>3385917</v>
      </c>
      <c r="F170" s="112">
        <f>+F166+F152+F148+F146+F139+F128+F120+F105+F95+F84+F70+F168</f>
        <v>3117749</v>
      </c>
      <c r="G170" s="105"/>
      <c r="H170" s="79"/>
    </row>
    <row r="171" spans="1:8" s="78" customFormat="1" ht="12.6" customHeight="1" x14ac:dyDescent="0.3">
      <c r="A171" s="102"/>
      <c r="G171" s="79"/>
    </row>
    <row r="172" spans="1:8" s="78" customFormat="1" ht="19.5" customHeight="1" x14ac:dyDescent="0.3">
      <c r="A172" s="159" t="s">
        <v>80</v>
      </c>
      <c r="B172" s="218">
        <f>+B51-B170</f>
        <v>4310</v>
      </c>
      <c r="C172" s="218">
        <f>+C51-C170</f>
        <v>123781</v>
      </c>
      <c r="D172" s="218">
        <f>+D51-D170</f>
        <v>202610.41000000015</v>
      </c>
      <c r="E172" s="109">
        <f>+E51-E170</f>
        <v>7814.6200000001118</v>
      </c>
      <c r="F172" s="109">
        <f>F51-F170</f>
        <v>364632</v>
      </c>
      <c r="G172" s="105" t="s">
        <v>15</v>
      </c>
    </row>
    <row r="173" spans="1:8" ht="12.6" customHeight="1" x14ac:dyDescent="0.3">
      <c r="A173" s="55"/>
      <c r="B173" s="105"/>
      <c r="C173" s="105"/>
      <c r="D173" s="105"/>
      <c r="E173" s="105"/>
      <c r="F173" s="105"/>
      <c r="G173" s="105"/>
    </row>
    <row r="174" spans="1:8" s="64" customFormat="1" ht="15" customHeight="1" x14ac:dyDescent="0.3">
      <c r="A174" s="64" t="s">
        <v>334</v>
      </c>
      <c r="C174" s="64">
        <f>0.4*380000</f>
        <v>152000</v>
      </c>
      <c r="D174" s="64">
        <f>0.4*380000</f>
        <v>152000</v>
      </c>
    </row>
    <row r="175" spans="1:8" s="64" customFormat="1" ht="15" customHeight="1" x14ac:dyDescent="0.3">
      <c r="A175" s="64" t="s">
        <v>370</v>
      </c>
      <c r="C175" s="64">
        <v>13600</v>
      </c>
      <c r="D175" s="64">
        <v>13600</v>
      </c>
    </row>
    <row r="176" spans="1:8" s="64" customFormat="1" ht="15.75" customHeight="1" x14ac:dyDescent="0.3">
      <c r="A176" s="64" t="s">
        <v>335</v>
      </c>
      <c r="B176" s="66"/>
      <c r="C176" s="66">
        <v>90000</v>
      </c>
      <c r="D176" s="66">
        <v>90000</v>
      </c>
      <c r="E176" s="66"/>
    </row>
    <row r="177" spans="1:8" ht="16.5" customHeight="1" x14ac:dyDescent="0.3">
      <c r="A177" s="64" t="s">
        <v>336</v>
      </c>
      <c r="B177" s="105">
        <f>SUM(B172:B176)</f>
        <v>4310</v>
      </c>
      <c r="C177" s="105">
        <f>+C172-C174-C176-C175</f>
        <v>-131819</v>
      </c>
      <c r="D177" s="105">
        <f>+D172-D174-D176-D175</f>
        <v>-52989.589999999851</v>
      </c>
      <c r="E177" s="105">
        <f>+E172-E174-E176</f>
        <v>7814.6200000001118</v>
      </c>
      <c r="F177" s="105"/>
      <c r="G177" s="105"/>
    </row>
    <row r="178" spans="1:8" ht="5.25" customHeight="1" x14ac:dyDescent="0.3">
      <c r="A178" s="55"/>
      <c r="B178" s="105"/>
      <c r="C178" s="105"/>
      <c r="D178" s="105"/>
      <c r="E178" s="105"/>
      <c r="F178" s="105"/>
      <c r="G178" s="105"/>
    </row>
    <row r="179" spans="1:8" ht="12.6" customHeight="1" x14ac:dyDescent="0.3">
      <c r="A179" s="75" t="s">
        <v>210</v>
      </c>
      <c r="B179" s="2">
        <v>1001736</v>
      </c>
      <c r="C179" s="2">
        <v>1169835</v>
      </c>
      <c r="D179" s="2">
        <v>1169835</v>
      </c>
      <c r="E179" s="2">
        <v>953007</v>
      </c>
      <c r="F179" s="2">
        <f>972474-19467</f>
        <v>953007</v>
      </c>
      <c r="G179" s="105"/>
    </row>
    <row r="180" spans="1:8" s="79" customFormat="1" ht="15" customHeight="1" thickBot="1" x14ac:dyDescent="0.35">
      <c r="A180" s="104" t="s">
        <v>278</v>
      </c>
      <c r="B180" s="176">
        <f>SUM(B177:B179)</f>
        <v>1006046</v>
      </c>
      <c r="C180" s="176">
        <f>SUM(C177:C179)</f>
        <v>1038016</v>
      </c>
      <c r="D180" s="176">
        <f>SUM(D177:D179)</f>
        <v>1116845.4100000001</v>
      </c>
      <c r="E180" s="176">
        <f>SUM(E172:E179)</f>
        <v>968636.24000000022</v>
      </c>
      <c r="F180" s="176">
        <f>SUM(F172:F179)</f>
        <v>1317639</v>
      </c>
      <c r="G180" s="105"/>
      <c r="H180" s="186"/>
    </row>
    <row r="181" spans="1:8" s="79" customFormat="1" ht="15" customHeight="1" thickTop="1" x14ac:dyDescent="0.3">
      <c r="A181" s="104"/>
      <c r="B181" s="105"/>
      <c r="C181" s="105"/>
      <c r="D181" s="105"/>
      <c r="E181" s="105"/>
      <c r="F181" s="105"/>
      <c r="G181" s="105"/>
      <c r="H181" s="186"/>
    </row>
    <row r="182" spans="1:8" s="79" customFormat="1" ht="15" customHeight="1" x14ac:dyDescent="0.3">
      <c r="A182" s="46" t="s">
        <v>15</v>
      </c>
      <c r="B182" s="105"/>
      <c r="C182" s="105"/>
      <c r="D182" s="105"/>
      <c r="E182" s="105"/>
      <c r="F182" s="105"/>
      <c r="G182" s="105"/>
      <c r="H182" s="186"/>
    </row>
    <row r="183" spans="1:8" s="79" customFormat="1" ht="15" customHeight="1" x14ac:dyDescent="0.3">
      <c r="A183" s="104"/>
      <c r="B183" s="105"/>
      <c r="C183" s="105"/>
      <c r="D183" s="105"/>
      <c r="E183" s="105"/>
      <c r="F183" s="105"/>
      <c r="G183" s="105"/>
      <c r="H183" s="186"/>
    </row>
    <row r="184" spans="1:8" s="79" customFormat="1" ht="15" customHeight="1" x14ac:dyDescent="0.3">
      <c r="A184" s="104"/>
      <c r="B184" s="105"/>
      <c r="C184" s="105"/>
      <c r="D184" s="105"/>
      <c r="E184" s="105"/>
      <c r="F184" s="105"/>
      <c r="G184" s="105"/>
      <c r="H184" s="186"/>
    </row>
    <row r="186" spans="1:8" ht="12.6" customHeight="1" x14ac:dyDescent="0.3">
      <c r="B186" s="120"/>
      <c r="C186" s="120"/>
      <c r="D186" s="120"/>
      <c r="E186" s="120"/>
      <c r="F186" s="120"/>
      <c r="G186" s="142"/>
    </row>
    <row r="187" spans="1:8" ht="12.6" customHeight="1" x14ac:dyDescent="0.3">
      <c r="B187" s="78"/>
      <c r="C187" s="78"/>
      <c r="D187" s="78"/>
      <c r="E187" s="78"/>
      <c r="F187" s="78"/>
    </row>
    <row r="188" spans="1:8" ht="12.6" customHeight="1" x14ac:dyDescent="0.3">
      <c r="B188" s="78"/>
      <c r="C188" s="78"/>
      <c r="D188" s="78"/>
      <c r="E188" s="78"/>
      <c r="F188" s="78"/>
    </row>
    <row r="189" spans="1:8" ht="12.6" customHeight="1" x14ac:dyDescent="0.3">
      <c r="B189" s="78"/>
      <c r="C189" s="78"/>
      <c r="D189" s="78"/>
      <c r="E189" s="78"/>
      <c r="F189" s="78"/>
    </row>
    <row r="190" spans="1:8" ht="12.6" customHeight="1" x14ac:dyDescent="0.3">
      <c r="A190" s="206"/>
      <c r="B190" s="78"/>
      <c r="C190" s="78"/>
      <c r="D190" s="78"/>
      <c r="E190" s="78"/>
      <c r="F190" s="78"/>
    </row>
    <row r="191" spans="1:8" ht="12.6" customHeight="1" x14ac:dyDescent="0.3">
      <c r="B191" s="78"/>
      <c r="C191" s="78"/>
      <c r="D191" s="78"/>
      <c r="E191" s="78"/>
      <c r="F191" s="78"/>
    </row>
    <row r="192" spans="1:8" ht="12.6" customHeight="1" x14ac:dyDescent="0.3">
      <c r="B192" s="78"/>
      <c r="C192" s="78"/>
      <c r="D192" s="78"/>
      <c r="E192" s="78"/>
      <c r="F192" s="78"/>
    </row>
    <row r="193" spans="2:6" ht="12.6" customHeight="1" x14ac:dyDescent="0.3">
      <c r="B193" s="78"/>
      <c r="C193" s="78"/>
      <c r="D193" s="78"/>
      <c r="E193" s="78"/>
      <c r="F193" s="78"/>
    </row>
    <row r="194" spans="2:6" ht="12.6" customHeight="1" x14ac:dyDescent="0.3">
      <c r="B194" s="78"/>
      <c r="C194" s="78"/>
      <c r="D194" s="78"/>
      <c r="E194" s="78"/>
      <c r="F194" s="78"/>
    </row>
    <row r="195" spans="2:6" ht="12.6" customHeight="1" x14ac:dyDescent="0.3">
      <c r="B195" s="78"/>
      <c r="C195" s="78"/>
      <c r="D195" s="78"/>
      <c r="E195" s="78"/>
      <c r="F195" s="78"/>
    </row>
    <row r="196" spans="2:6" ht="12.6" customHeight="1" x14ac:dyDescent="0.3">
      <c r="B196" s="78"/>
      <c r="C196" s="78"/>
      <c r="D196" s="78"/>
      <c r="E196" s="78"/>
      <c r="F196" s="78"/>
    </row>
    <row r="197" spans="2:6" ht="12.6" customHeight="1" x14ac:dyDescent="0.3">
      <c r="B197" s="78"/>
      <c r="C197" s="78"/>
      <c r="D197" s="78"/>
      <c r="E197" s="78"/>
      <c r="F197" s="78"/>
    </row>
    <row r="198" spans="2:6" ht="12.6" customHeight="1" x14ac:dyDescent="0.3">
      <c r="B198" s="78"/>
      <c r="C198" s="78"/>
      <c r="D198" s="78"/>
      <c r="E198" s="78"/>
      <c r="F198" s="78"/>
    </row>
    <row r="199" spans="2:6" ht="12.6" customHeight="1" x14ac:dyDescent="0.3">
      <c r="B199" s="78"/>
      <c r="C199" s="78"/>
      <c r="D199" s="78"/>
      <c r="E199" s="78"/>
      <c r="F199" s="78"/>
    </row>
    <row r="200" spans="2:6" ht="12.6" customHeight="1" x14ac:dyDescent="0.3">
      <c r="B200" s="78"/>
      <c r="C200" s="78"/>
      <c r="D200" s="78"/>
      <c r="E200" s="78"/>
      <c r="F200" s="78"/>
    </row>
    <row r="201" spans="2:6" ht="12.6" customHeight="1" x14ac:dyDescent="0.3">
      <c r="B201" s="78"/>
      <c r="C201" s="78"/>
      <c r="D201" s="78"/>
      <c r="E201" s="78"/>
      <c r="F201" s="78"/>
    </row>
    <row r="202" spans="2:6" ht="12.6" customHeight="1" x14ac:dyDescent="0.3">
      <c r="B202" s="78"/>
      <c r="C202" s="78"/>
      <c r="D202" s="78"/>
      <c r="E202" s="78"/>
      <c r="F202" s="78"/>
    </row>
    <row r="203" spans="2:6" ht="12.6" customHeight="1" x14ac:dyDescent="0.3">
      <c r="B203" s="78"/>
      <c r="C203" s="78"/>
      <c r="D203" s="78"/>
      <c r="E203" s="78"/>
      <c r="F203" s="78"/>
    </row>
    <row r="204" spans="2:6" ht="12.6" customHeight="1" x14ac:dyDescent="0.3">
      <c r="B204" s="78"/>
      <c r="C204" s="78"/>
      <c r="D204" s="78"/>
      <c r="E204" s="78"/>
      <c r="F204" s="78"/>
    </row>
    <row r="205" spans="2:6" ht="12.6" customHeight="1" x14ac:dyDescent="0.3">
      <c r="B205" s="78"/>
      <c r="C205" s="78"/>
      <c r="D205" s="78"/>
      <c r="E205" s="78"/>
      <c r="F205" s="78"/>
    </row>
    <row r="206" spans="2:6" ht="12.6" customHeight="1" x14ac:dyDescent="0.3">
      <c r="B206" s="78"/>
      <c r="C206" s="78"/>
      <c r="D206" s="78"/>
      <c r="E206" s="78"/>
      <c r="F206" s="78"/>
    </row>
    <row r="207" spans="2:6" ht="12.6" customHeight="1" x14ac:dyDescent="0.3">
      <c r="B207" s="78"/>
      <c r="C207" s="78"/>
      <c r="D207" s="78"/>
      <c r="E207" s="78"/>
      <c r="F207" s="78"/>
    </row>
    <row r="208" spans="2:6" ht="12.6" customHeight="1" x14ac:dyDescent="0.3">
      <c r="B208" s="78"/>
      <c r="C208" s="78"/>
      <c r="D208" s="78"/>
      <c r="E208" s="78"/>
      <c r="F208" s="78"/>
    </row>
    <row r="209" spans="2:6" ht="12.6" customHeight="1" x14ac:dyDescent="0.3">
      <c r="B209" s="78"/>
      <c r="C209" s="78"/>
      <c r="D209" s="78"/>
      <c r="E209" s="78"/>
      <c r="F209" s="78"/>
    </row>
    <row r="210" spans="2:6" ht="12.6" customHeight="1" x14ac:dyDescent="0.3">
      <c r="B210" s="78"/>
      <c r="C210" s="78"/>
      <c r="D210" s="78"/>
      <c r="E210" s="78"/>
      <c r="F210" s="78"/>
    </row>
    <row r="211" spans="2:6" ht="12.6" customHeight="1" x14ac:dyDescent="0.3">
      <c r="B211" s="78"/>
      <c r="C211" s="78"/>
      <c r="D211" s="78"/>
      <c r="E211" s="78"/>
      <c r="F211" s="78"/>
    </row>
    <row r="212" spans="2:6" ht="12.6" customHeight="1" x14ac:dyDescent="0.3">
      <c r="B212" s="78"/>
      <c r="C212" s="78"/>
      <c r="D212" s="78"/>
      <c r="E212" s="78"/>
      <c r="F212" s="78"/>
    </row>
    <row r="213" spans="2:6" ht="12.6" customHeight="1" x14ac:dyDescent="0.3">
      <c r="B213" s="78"/>
      <c r="C213" s="78"/>
      <c r="D213" s="78"/>
      <c r="E213" s="78"/>
      <c r="F213" s="78"/>
    </row>
    <row r="214" spans="2:6" ht="12.6" customHeight="1" x14ac:dyDescent="0.3">
      <c r="B214" s="78"/>
      <c r="C214" s="78"/>
      <c r="D214" s="78"/>
      <c r="E214" s="78"/>
      <c r="F214" s="78"/>
    </row>
    <row r="215" spans="2:6" ht="12.6" customHeight="1" x14ac:dyDescent="0.3">
      <c r="B215" s="78"/>
      <c r="C215" s="78"/>
      <c r="D215" s="78"/>
      <c r="E215" s="78"/>
      <c r="F215" s="78"/>
    </row>
    <row r="216" spans="2:6" ht="12.6" customHeight="1" x14ac:dyDescent="0.3">
      <c r="B216" s="78"/>
      <c r="C216" s="78"/>
      <c r="D216" s="78"/>
      <c r="E216" s="78"/>
      <c r="F216" s="78"/>
    </row>
    <row r="217" spans="2:6" ht="12.6" customHeight="1" x14ac:dyDescent="0.3">
      <c r="B217" s="78"/>
      <c r="C217" s="78"/>
      <c r="D217" s="78"/>
      <c r="E217" s="78"/>
      <c r="F217" s="78"/>
    </row>
    <row r="218" spans="2:6" ht="12.6" customHeight="1" x14ac:dyDescent="0.3">
      <c r="B218" s="78"/>
      <c r="C218" s="78"/>
      <c r="D218" s="78"/>
      <c r="E218" s="78"/>
      <c r="F218" s="78"/>
    </row>
    <row r="219" spans="2:6" ht="12.6" customHeight="1" x14ac:dyDescent="0.3">
      <c r="B219" s="78"/>
      <c r="C219" s="78"/>
      <c r="D219" s="78"/>
      <c r="E219" s="78"/>
      <c r="F219" s="78"/>
    </row>
    <row r="220" spans="2:6" ht="12.6" customHeight="1" x14ac:dyDescent="0.3">
      <c r="B220" s="78"/>
      <c r="C220" s="78"/>
      <c r="D220" s="78"/>
      <c r="E220" s="78"/>
      <c r="F220" s="78"/>
    </row>
    <row r="221" spans="2:6" ht="12.6" customHeight="1" x14ac:dyDescent="0.3">
      <c r="B221" s="78"/>
      <c r="C221" s="78"/>
      <c r="D221" s="78"/>
      <c r="E221" s="78"/>
      <c r="F221" s="78"/>
    </row>
    <row r="222" spans="2:6" ht="12.6" customHeight="1" x14ac:dyDescent="0.3">
      <c r="B222" s="78"/>
      <c r="C222" s="78"/>
      <c r="D222" s="78"/>
      <c r="E222" s="78"/>
      <c r="F222" s="78"/>
    </row>
    <row r="223" spans="2:6" ht="12.6" customHeight="1" x14ac:dyDescent="0.3">
      <c r="B223" s="78"/>
      <c r="C223" s="78"/>
      <c r="D223" s="78"/>
      <c r="E223" s="78"/>
      <c r="F223" s="78"/>
    </row>
    <row r="224" spans="2:6" ht="12.6" customHeight="1" x14ac:dyDescent="0.3">
      <c r="B224" s="78"/>
      <c r="C224" s="78"/>
      <c r="D224" s="78"/>
      <c r="E224" s="78"/>
      <c r="F224" s="78"/>
    </row>
    <row r="225" spans="2:6" ht="12.6" customHeight="1" x14ac:dyDescent="0.3">
      <c r="B225" s="78"/>
      <c r="C225" s="78"/>
      <c r="D225" s="78"/>
      <c r="E225" s="78"/>
      <c r="F225" s="78"/>
    </row>
    <row r="226" spans="2:6" ht="12.6" customHeight="1" x14ac:dyDescent="0.3">
      <c r="B226" s="78"/>
      <c r="C226" s="78"/>
      <c r="D226" s="78"/>
      <c r="E226" s="78"/>
      <c r="F226" s="78"/>
    </row>
    <row r="227" spans="2:6" ht="12.6" customHeight="1" x14ac:dyDescent="0.3">
      <c r="B227" s="78"/>
      <c r="C227" s="78"/>
      <c r="D227" s="78"/>
      <c r="E227" s="78"/>
      <c r="F227" s="78"/>
    </row>
    <row r="228" spans="2:6" ht="12.6" customHeight="1" x14ac:dyDescent="0.3">
      <c r="B228" s="78"/>
      <c r="C228" s="78"/>
      <c r="D228" s="78"/>
      <c r="E228" s="78"/>
      <c r="F228" s="78"/>
    </row>
    <row r="229" spans="2:6" ht="12.6" customHeight="1" x14ac:dyDescent="0.3">
      <c r="B229" s="78"/>
      <c r="C229" s="78"/>
      <c r="D229" s="78"/>
      <c r="E229" s="78"/>
      <c r="F229" s="78"/>
    </row>
    <row r="230" spans="2:6" ht="12.6" customHeight="1" x14ac:dyDescent="0.3">
      <c r="B230" s="78"/>
      <c r="C230" s="78"/>
      <c r="D230" s="78"/>
      <c r="E230" s="78"/>
      <c r="F230" s="78"/>
    </row>
    <row r="231" spans="2:6" ht="12.6" customHeight="1" x14ac:dyDescent="0.3">
      <c r="B231" s="78"/>
      <c r="C231" s="78"/>
      <c r="D231" s="78"/>
      <c r="E231" s="78"/>
      <c r="F231" s="78"/>
    </row>
    <row r="232" spans="2:6" ht="12.6" customHeight="1" x14ac:dyDescent="0.3">
      <c r="B232" s="78"/>
      <c r="C232" s="78"/>
      <c r="D232" s="78"/>
      <c r="E232" s="78"/>
      <c r="F232" s="78"/>
    </row>
    <row r="233" spans="2:6" ht="12.6" customHeight="1" x14ac:dyDescent="0.3">
      <c r="B233" s="78"/>
      <c r="C233" s="78"/>
      <c r="D233" s="78"/>
      <c r="E233" s="78"/>
      <c r="F233" s="78"/>
    </row>
    <row r="234" spans="2:6" ht="12.6" customHeight="1" x14ac:dyDescent="0.3">
      <c r="B234" s="78"/>
      <c r="C234" s="78"/>
      <c r="D234" s="78"/>
      <c r="E234" s="78"/>
      <c r="F234" s="78"/>
    </row>
    <row r="235" spans="2:6" ht="12.6" customHeight="1" x14ac:dyDescent="0.3">
      <c r="B235" s="78"/>
      <c r="C235" s="78"/>
      <c r="D235" s="78"/>
      <c r="E235" s="78"/>
      <c r="F235" s="78"/>
    </row>
    <row r="236" spans="2:6" ht="12.6" customHeight="1" x14ac:dyDescent="0.3">
      <c r="B236" s="78"/>
      <c r="C236" s="78"/>
      <c r="D236" s="78"/>
      <c r="E236" s="78"/>
      <c r="F236" s="78"/>
    </row>
    <row r="237" spans="2:6" ht="12.6" customHeight="1" x14ac:dyDescent="0.3">
      <c r="B237" s="78"/>
      <c r="C237" s="78"/>
      <c r="D237" s="78"/>
      <c r="E237" s="78"/>
      <c r="F237" s="78"/>
    </row>
    <row r="238" spans="2:6" ht="12.6" customHeight="1" x14ac:dyDescent="0.3">
      <c r="B238" s="78"/>
      <c r="C238" s="78"/>
      <c r="D238" s="78"/>
      <c r="E238" s="78"/>
      <c r="F238" s="78"/>
    </row>
    <row r="239" spans="2:6" ht="12.6" customHeight="1" x14ac:dyDescent="0.3">
      <c r="B239" s="78"/>
      <c r="C239" s="78"/>
      <c r="D239" s="78"/>
      <c r="E239" s="78"/>
      <c r="F239" s="78"/>
    </row>
    <row r="240" spans="2:6" ht="12.6" customHeight="1" x14ac:dyDescent="0.3">
      <c r="B240" s="78"/>
      <c r="C240" s="78"/>
      <c r="D240" s="78"/>
      <c r="E240" s="78"/>
      <c r="F240" s="78"/>
    </row>
    <row r="241" spans="2:6" ht="12.6" customHeight="1" x14ac:dyDescent="0.3">
      <c r="B241" s="78"/>
      <c r="C241" s="78"/>
      <c r="D241" s="78"/>
      <c r="E241" s="78"/>
      <c r="F241" s="78"/>
    </row>
    <row r="242" spans="2:6" ht="12.6" customHeight="1" x14ac:dyDescent="0.3">
      <c r="B242" s="78"/>
      <c r="C242" s="78"/>
      <c r="D242" s="78"/>
      <c r="E242" s="78"/>
      <c r="F242" s="78"/>
    </row>
    <row r="243" spans="2:6" ht="12.6" customHeight="1" x14ac:dyDescent="0.3">
      <c r="B243" s="78"/>
      <c r="C243" s="78"/>
      <c r="D243" s="78"/>
      <c r="E243" s="78"/>
      <c r="F243" s="78"/>
    </row>
    <row r="244" spans="2:6" ht="12.6" customHeight="1" x14ac:dyDescent="0.3">
      <c r="B244" s="78"/>
      <c r="C244" s="78"/>
      <c r="D244" s="78"/>
      <c r="E244" s="78"/>
      <c r="F244" s="78"/>
    </row>
    <row r="245" spans="2:6" ht="12.6" customHeight="1" x14ac:dyDescent="0.3">
      <c r="B245" s="78"/>
      <c r="C245" s="78"/>
      <c r="D245" s="78"/>
      <c r="E245" s="78"/>
      <c r="F245" s="78"/>
    </row>
    <row r="246" spans="2:6" ht="12.6" customHeight="1" x14ac:dyDescent="0.3">
      <c r="B246" s="78"/>
      <c r="C246" s="78"/>
      <c r="D246" s="78"/>
      <c r="E246" s="78"/>
      <c r="F246" s="78"/>
    </row>
    <row r="247" spans="2:6" ht="12.6" customHeight="1" x14ac:dyDescent="0.3">
      <c r="B247" s="78"/>
      <c r="C247" s="78"/>
      <c r="D247" s="78"/>
      <c r="E247" s="78"/>
      <c r="F247" s="78"/>
    </row>
    <row r="248" spans="2:6" ht="12.6" customHeight="1" x14ac:dyDescent="0.3">
      <c r="B248" s="78"/>
      <c r="C248" s="78"/>
      <c r="D248" s="78"/>
      <c r="E248" s="78"/>
      <c r="F248" s="78"/>
    </row>
    <row r="249" spans="2:6" ht="12.6" customHeight="1" x14ac:dyDescent="0.3">
      <c r="B249" s="78"/>
      <c r="C249" s="78"/>
      <c r="D249" s="78"/>
      <c r="E249" s="78"/>
      <c r="F249" s="78"/>
    </row>
    <row r="250" spans="2:6" ht="12.6" customHeight="1" x14ac:dyDescent="0.3">
      <c r="B250" s="78"/>
      <c r="C250" s="78"/>
      <c r="D250" s="78"/>
      <c r="E250" s="78"/>
      <c r="F250" s="78"/>
    </row>
    <row r="251" spans="2:6" ht="12.6" customHeight="1" x14ac:dyDescent="0.3">
      <c r="B251" s="78"/>
      <c r="C251" s="78"/>
      <c r="D251" s="78"/>
      <c r="E251" s="78"/>
      <c r="F251" s="78"/>
    </row>
    <row r="252" spans="2:6" ht="12.6" customHeight="1" x14ac:dyDescent="0.3">
      <c r="B252" s="78"/>
      <c r="C252" s="78"/>
      <c r="D252" s="78"/>
      <c r="E252" s="78"/>
      <c r="F252" s="78"/>
    </row>
    <row r="253" spans="2:6" ht="12.6" customHeight="1" x14ac:dyDescent="0.3">
      <c r="B253" s="78"/>
      <c r="C253" s="78"/>
      <c r="D253" s="78"/>
      <c r="E253" s="78"/>
      <c r="F253" s="78"/>
    </row>
    <row r="254" spans="2:6" ht="12.6" customHeight="1" x14ac:dyDescent="0.3">
      <c r="B254" s="78"/>
      <c r="C254" s="78"/>
      <c r="D254" s="78"/>
      <c r="E254" s="78"/>
      <c r="F254" s="78"/>
    </row>
    <row r="255" spans="2:6" ht="12.6" customHeight="1" x14ac:dyDescent="0.3">
      <c r="B255" s="78"/>
      <c r="C255" s="78"/>
      <c r="D255" s="78"/>
      <c r="E255" s="78"/>
      <c r="F255" s="78"/>
    </row>
    <row r="256" spans="2:6" ht="12.6" customHeight="1" x14ac:dyDescent="0.3">
      <c r="B256" s="78"/>
      <c r="C256" s="78"/>
      <c r="D256" s="78"/>
      <c r="E256" s="78"/>
      <c r="F256" s="78"/>
    </row>
    <row r="257" spans="2:6" ht="12.6" customHeight="1" x14ac:dyDescent="0.3">
      <c r="B257" s="78"/>
      <c r="C257" s="78"/>
      <c r="D257" s="78"/>
      <c r="E257" s="78"/>
      <c r="F257" s="78"/>
    </row>
    <row r="258" spans="2:6" ht="12.6" customHeight="1" x14ac:dyDescent="0.3">
      <c r="B258" s="78"/>
      <c r="C258" s="78"/>
      <c r="D258" s="78"/>
      <c r="E258" s="78"/>
      <c r="F258" s="78"/>
    </row>
    <row r="259" spans="2:6" ht="12.6" customHeight="1" x14ac:dyDescent="0.3">
      <c r="B259" s="78"/>
      <c r="C259" s="78"/>
      <c r="D259" s="78"/>
      <c r="E259" s="78"/>
      <c r="F259" s="78"/>
    </row>
    <row r="260" spans="2:6" ht="12.6" customHeight="1" x14ac:dyDescent="0.3">
      <c r="B260" s="78"/>
      <c r="C260" s="78"/>
      <c r="D260" s="78"/>
      <c r="E260" s="78"/>
      <c r="F260" s="78"/>
    </row>
    <row r="261" spans="2:6" ht="12.6" customHeight="1" x14ac:dyDescent="0.3">
      <c r="B261" s="78"/>
      <c r="C261" s="78"/>
      <c r="D261" s="78"/>
      <c r="E261" s="78"/>
      <c r="F261" s="78"/>
    </row>
    <row r="262" spans="2:6" ht="12.6" customHeight="1" x14ac:dyDescent="0.3">
      <c r="B262" s="78"/>
      <c r="C262" s="78"/>
      <c r="D262" s="78"/>
      <c r="E262" s="78"/>
      <c r="F262" s="78"/>
    </row>
    <row r="263" spans="2:6" ht="12.6" customHeight="1" x14ac:dyDescent="0.3">
      <c r="B263" s="78"/>
      <c r="C263" s="78"/>
      <c r="D263" s="78"/>
      <c r="E263" s="78"/>
      <c r="F263" s="78"/>
    </row>
    <row r="264" spans="2:6" ht="12.6" customHeight="1" x14ac:dyDescent="0.3">
      <c r="B264" s="78"/>
      <c r="C264" s="78"/>
      <c r="D264" s="78"/>
      <c r="E264" s="78"/>
      <c r="F264" s="78"/>
    </row>
    <row r="265" spans="2:6" ht="12.6" customHeight="1" x14ac:dyDescent="0.3">
      <c r="B265" s="78"/>
      <c r="C265" s="78"/>
      <c r="D265" s="78"/>
      <c r="E265" s="78"/>
      <c r="F265" s="78"/>
    </row>
    <row r="266" spans="2:6" ht="12.6" customHeight="1" x14ac:dyDescent="0.3">
      <c r="B266" s="78"/>
      <c r="C266" s="78"/>
      <c r="D266" s="78"/>
      <c r="E266" s="78"/>
      <c r="F266" s="78"/>
    </row>
    <row r="267" spans="2:6" ht="12.6" customHeight="1" x14ac:dyDescent="0.3">
      <c r="B267" s="78"/>
      <c r="C267" s="78"/>
      <c r="D267" s="78"/>
      <c r="E267" s="78"/>
      <c r="F267" s="78"/>
    </row>
    <row r="268" spans="2:6" ht="12.6" customHeight="1" x14ac:dyDescent="0.3">
      <c r="B268" s="78"/>
      <c r="C268" s="78"/>
      <c r="D268" s="78"/>
      <c r="E268" s="78"/>
      <c r="F268" s="78"/>
    </row>
    <row r="269" spans="2:6" ht="12.6" customHeight="1" x14ac:dyDescent="0.3">
      <c r="B269" s="78"/>
      <c r="C269" s="78"/>
      <c r="D269" s="78"/>
      <c r="E269" s="78"/>
      <c r="F269" s="78"/>
    </row>
    <row r="270" spans="2:6" ht="12.6" customHeight="1" x14ac:dyDescent="0.3">
      <c r="B270" s="78"/>
      <c r="C270" s="78"/>
      <c r="D270" s="78"/>
      <c r="E270" s="78"/>
      <c r="F270" s="78"/>
    </row>
    <row r="271" spans="2:6" ht="12.6" customHeight="1" x14ac:dyDescent="0.3">
      <c r="B271" s="78"/>
      <c r="C271" s="78"/>
      <c r="D271" s="78"/>
      <c r="E271" s="78"/>
      <c r="F271" s="78"/>
    </row>
    <row r="272" spans="2:6" ht="12.6" customHeight="1" x14ac:dyDescent="0.3">
      <c r="B272" s="78"/>
      <c r="C272" s="78"/>
      <c r="D272" s="78"/>
      <c r="E272" s="78"/>
      <c r="F272" s="78"/>
    </row>
    <row r="273" spans="2:6" ht="12.6" customHeight="1" x14ac:dyDescent="0.3">
      <c r="B273" s="78"/>
      <c r="C273" s="78"/>
      <c r="D273" s="78"/>
      <c r="E273" s="78"/>
      <c r="F273" s="78"/>
    </row>
    <row r="274" spans="2:6" ht="12.6" customHeight="1" x14ac:dyDescent="0.3">
      <c r="B274" s="78"/>
      <c r="C274" s="78"/>
      <c r="D274" s="78"/>
      <c r="E274" s="78"/>
      <c r="F274" s="78"/>
    </row>
    <row r="275" spans="2:6" ht="12.6" customHeight="1" x14ac:dyDescent="0.3">
      <c r="B275" s="78"/>
      <c r="C275" s="78"/>
      <c r="D275" s="78"/>
      <c r="E275" s="78"/>
      <c r="F275" s="78"/>
    </row>
    <row r="276" spans="2:6" ht="12.6" customHeight="1" x14ac:dyDescent="0.3">
      <c r="B276" s="78"/>
      <c r="C276" s="78"/>
      <c r="D276" s="78"/>
      <c r="E276" s="78"/>
      <c r="F276" s="78"/>
    </row>
    <row r="277" spans="2:6" ht="12.6" customHeight="1" x14ac:dyDescent="0.3">
      <c r="B277" s="78"/>
      <c r="C277" s="78"/>
      <c r="D277" s="78"/>
      <c r="E277" s="78"/>
      <c r="F277" s="78"/>
    </row>
    <row r="278" spans="2:6" ht="12.6" customHeight="1" x14ac:dyDescent="0.3">
      <c r="B278" s="78"/>
      <c r="C278" s="78"/>
      <c r="D278" s="78"/>
      <c r="E278" s="78"/>
      <c r="F278" s="78"/>
    </row>
    <row r="279" spans="2:6" ht="12.6" customHeight="1" x14ac:dyDescent="0.3">
      <c r="B279" s="78"/>
      <c r="C279" s="78"/>
      <c r="D279" s="78"/>
      <c r="E279" s="78"/>
      <c r="F279" s="78"/>
    </row>
    <row r="280" spans="2:6" ht="12.6" customHeight="1" x14ac:dyDescent="0.3">
      <c r="B280" s="78"/>
      <c r="C280" s="78"/>
      <c r="D280" s="78"/>
      <c r="E280" s="78"/>
      <c r="F280" s="78"/>
    </row>
    <row r="281" spans="2:6" ht="12.6" customHeight="1" x14ac:dyDescent="0.3">
      <c r="B281" s="78"/>
      <c r="C281" s="78"/>
      <c r="D281" s="78"/>
      <c r="E281" s="78"/>
      <c r="F281" s="78"/>
    </row>
    <row r="282" spans="2:6" ht="12.6" customHeight="1" x14ac:dyDescent="0.3">
      <c r="B282" s="78"/>
      <c r="C282" s="78"/>
      <c r="D282" s="78"/>
      <c r="E282" s="78"/>
      <c r="F282" s="78"/>
    </row>
    <row r="283" spans="2:6" ht="12.6" customHeight="1" x14ac:dyDescent="0.3">
      <c r="B283" s="78"/>
      <c r="C283" s="78"/>
      <c r="D283" s="78"/>
      <c r="E283" s="78"/>
      <c r="F283" s="78"/>
    </row>
    <row r="284" spans="2:6" ht="12.6" customHeight="1" x14ac:dyDescent="0.3">
      <c r="B284" s="78"/>
      <c r="C284" s="78"/>
      <c r="D284" s="78"/>
      <c r="E284" s="78"/>
      <c r="F284" s="78"/>
    </row>
    <row r="285" spans="2:6" ht="12.6" customHeight="1" x14ac:dyDescent="0.3">
      <c r="B285" s="78"/>
      <c r="C285" s="78"/>
      <c r="D285" s="78"/>
      <c r="E285" s="78"/>
      <c r="F285" s="78"/>
    </row>
    <row r="286" spans="2:6" ht="12.6" customHeight="1" x14ac:dyDescent="0.3">
      <c r="B286" s="78"/>
      <c r="C286" s="78"/>
      <c r="D286" s="78"/>
      <c r="E286" s="78"/>
      <c r="F286" s="78"/>
    </row>
    <row r="287" spans="2:6" ht="12.6" customHeight="1" x14ac:dyDescent="0.3">
      <c r="B287" s="78"/>
      <c r="C287" s="78"/>
      <c r="D287" s="78"/>
      <c r="E287" s="78"/>
      <c r="F287" s="78"/>
    </row>
    <row r="288" spans="2:6" ht="12.6" customHeight="1" x14ac:dyDescent="0.3">
      <c r="B288" s="78"/>
      <c r="C288" s="78"/>
      <c r="D288" s="78"/>
      <c r="E288" s="78"/>
      <c r="F288" s="78"/>
    </row>
    <row r="289" spans="2:6" ht="12.6" customHeight="1" x14ac:dyDescent="0.3">
      <c r="B289" s="78"/>
      <c r="C289" s="78"/>
      <c r="D289" s="78"/>
      <c r="E289" s="78"/>
      <c r="F289" s="78"/>
    </row>
    <row r="290" spans="2:6" ht="12.6" customHeight="1" x14ac:dyDescent="0.3">
      <c r="B290" s="78"/>
      <c r="C290" s="78"/>
      <c r="D290" s="78"/>
      <c r="E290" s="78"/>
      <c r="F290" s="78"/>
    </row>
    <row r="291" spans="2:6" ht="12.6" customHeight="1" x14ac:dyDescent="0.3">
      <c r="B291" s="78"/>
      <c r="C291" s="78"/>
      <c r="D291" s="78"/>
      <c r="E291" s="78"/>
      <c r="F291" s="78"/>
    </row>
    <row r="292" spans="2:6" ht="12.6" customHeight="1" x14ac:dyDescent="0.3">
      <c r="B292" s="78"/>
      <c r="C292" s="78"/>
      <c r="D292" s="78"/>
      <c r="E292" s="78"/>
      <c r="F292" s="78"/>
    </row>
    <row r="293" spans="2:6" ht="12.6" customHeight="1" x14ac:dyDescent="0.3">
      <c r="B293" s="78"/>
      <c r="C293" s="78"/>
      <c r="D293" s="78"/>
      <c r="E293" s="78"/>
      <c r="F293" s="78"/>
    </row>
    <row r="294" spans="2:6" ht="12.6" customHeight="1" x14ac:dyDescent="0.3">
      <c r="B294" s="78"/>
      <c r="C294" s="78"/>
      <c r="D294" s="78"/>
      <c r="E294" s="78"/>
      <c r="F294" s="78"/>
    </row>
    <row r="295" spans="2:6" ht="12.6" customHeight="1" x14ac:dyDescent="0.3">
      <c r="B295" s="78"/>
      <c r="C295" s="78"/>
      <c r="D295" s="78"/>
      <c r="E295" s="78"/>
      <c r="F295" s="78"/>
    </row>
    <row r="296" spans="2:6" ht="12.6" customHeight="1" x14ac:dyDescent="0.3">
      <c r="B296" s="78"/>
      <c r="C296" s="78"/>
      <c r="D296" s="78"/>
      <c r="E296" s="78"/>
      <c r="F296" s="78"/>
    </row>
    <row r="297" spans="2:6" ht="12.6" customHeight="1" x14ac:dyDescent="0.3">
      <c r="B297" s="78"/>
      <c r="C297" s="78"/>
      <c r="D297" s="78"/>
      <c r="E297" s="78"/>
      <c r="F297" s="78"/>
    </row>
    <row r="298" spans="2:6" ht="12.6" customHeight="1" x14ac:dyDescent="0.3">
      <c r="B298" s="78"/>
      <c r="C298" s="78"/>
      <c r="D298" s="78"/>
      <c r="E298" s="78"/>
      <c r="F298" s="78"/>
    </row>
    <row r="299" spans="2:6" ht="12.6" customHeight="1" x14ac:dyDescent="0.3">
      <c r="B299" s="78"/>
      <c r="C299" s="78"/>
      <c r="D299" s="78"/>
      <c r="E299" s="78"/>
      <c r="F299" s="78"/>
    </row>
    <row r="300" spans="2:6" ht="12.6" customHeight="1" x14ac:dyDescent="0.3">
      <c r="B300" s="78"/>
      <c r="C300" s="78"/>
      <c r="D300" s="78"/>
      <c r="E300" s="78"/>
      <c r="F300" s="78"/>
    </row>
    <row r="301" spans="2:6" ht="12.6" customHeight="1" x14ac:dyDescent="0.3">
      <c r="B301" s="78"/>
      <c r="C301" s="78"/>
      <c r="D301" s="78"/>
      <c r="E301" s="78"/>
      <c r="F301" s="78"/>
    </row>
    <row r="302" spans="2:6" ht="12.6" customHeight="1" x14ac:dyDescent="0.3">
      <c r="B302" s="78"/>
      <c r="C302" s="78"/>
      <c r="D302" s="78"/>
      <c r="E302" s="78"/>
      <c r="F302" s="78"/>
    </row>
    <row r="303" spans="2:6" ht="12.6" customHeight="1" x14ac:dyDescent="0.3">
      <c r="B303" s="78"/>
      <c r="C303" s="78"/>
      <c r="D303" s="78"/>
      <c r="E303" s="78"/>
      <c r="F303" s="78"/>
    </row>
    <row r="304" spans="2:6" ht="12.6" customHeight="1" x14ac:dyDescent="0.3">
      <c r="B304" s="78"/>
      <c r="C304" s="78"/>
      <c r="D304" s="78"/>
      <c r="E304" s="78"/>
      <c r="F304" s="78"/>
    </row>
    <row r="305" spans="2:6" ht="12.6" customHeight="1" x14ac:dyDescent="0.3">
      <c r="B305" s="78"/>
      <c r="C305" s="78"/>
      <c r="D305" s="78"/>
      <c r="E305" s="78"/>
      <c r="F305" s="78"/>
    </row>
    <row r="306" spans="2:6" ht="12.6" customHeight="1" x14ac:dyDescent="0.3">
      <c r="B306" s="78"/>
      <c r="C306" s="78"/>
      <c r="D306" s="78"/>
      <c r="E306" s="78"/>
      <c r="F306" s="78"/>
    </row>
    <row r="307" spans="2:6" ht="12.6" customHeight="1" x14ac:dyDescent="0.3">
      <c r="B307" s="78"/>
      <c r="C307" s="78"/>
      <c r="D307" s="78"/>
      <c r="E307" s="78"/>
      <c r="F307" s="78"/>
    </row>
    <row r="308" spans="2:6" ht="12.6" customHeight="1" x14ac:dyDescent="0.3">
      <c r="B308" s="78"/>
      <c r="C308" s="78"/>
      <c r="D308" s="78"/>
      <c r="E308" s="78"/>
      <c r="F308" s="78"/>
    </row>
    <row r="309" spans="2:6" ht="12.6" customHeight="1" x14ac:dyDescent="0.3">
      <c r="B309" s="78"/>
      <c r="C309" s="78"/>
      <c r="D309" s="78"/>
      <c r="E309" s="78"/>
      <c r="F309" s="78"/>
    </row>
    <row r="310" spans="2:6" ht="12.6" customHeight="1" x14ac:dyDescent="0.3">
      <c r="B310" s="78"/>
      <c r="C310" s="78"/>
      <c r="D310" s="78"/>
      <c r="E310" s="78"/>
      <c r="F310" s="78"/>
    </row>
    <row r="311" spans="2:6" ht="12.6" customHeight="1" x14ac:dyDescent="0.3">
      <c r="B311" s="78"/>
      <c r="C311" s="78"/>
      <c r="D311" s="78"/>
      <c r="E311" s="78"/>
      <c r="F311" s="78"/>
    </row>
    <row r="312" spans="2:6" ht="12.6" customHeight="1" x14ac:dyDescent="0.3">
      <c r="B312" s="78"/>
      <c r="C312" s="78"/>
      <c r="D312" s="78"/>
      <c r="E312" s="78"/>
      <c r="F312" s="78"/>
    </row>
    <row r="313" spans="2:6" ht="12.6" customHeight="1" x14ac:dyDescent="0.3">
      <c r="B313" s="78"/>
      <c r="C313" s="78"/>
      <c r="D313" s="78"/>
      <c r="E313" s="78"/>
      <c r="F313" s="78"/>
    </row>
    <row r="314" spans="2:6" ht="12.6" customHeight="1" x14ac:dyDescent="0.3">
      <c r="B314" s="78"/>
      <c r="C314" s="78"/>
      <c r="D314" s="78"/>
      <c r="E314" s="78"/>
      <c r="F314" s="78"/>
    </row>
    <row r="315" spans="2:6" ht="12.6" customHeight="1" x14ac:dyDescent="0.3">
      <c r="B315" s="78"/>
      <c r="C315" s="78"/>
      <c r="D315" s="78"/>
      <c r="E315" s="78"/>
      <c r="F315" s="78"/>
    </row>
    <row r="316" spans="2:6" ht="12.6" customHeight="1" x14ac:dyDescent="0.3">
      <c r="B316" s="78"/>
      <c r="C316" s="78"/>
      <c r="D316" s="78"/>
      <c r="E316" s="78"/>
      <c r="F316" s="78"/>
    </row>
    <row r="317" spans="2:6" ht="12.6" customHeight="1" x14ac:dyDescent="0.3">
      <c r="B317" s="78"/>
      <c r="C317" s="78"/>
      <c r="D317" s="78"/>
      <c r="E317" s="78"/>
      <c r="F317" s="78"/>
    </row>
    <row r="318" spans="2:6" ht="12.6" customHeight="1" x14ac:dyDescent="0.3">
      <c r="B318" s="78"/>
      <c r="C318" s="78"/>
      <c r="D318" s="78"/>
      <c r="E318" s="78"/>
      <c r="F318" s="78"/>
    </row>
    <row r="319" spans="2:6" ht="12.6" customHeight="1" x14ac:dyDescent="0.3">
      <c r="B319" s="78"/>
      <c r="C319" s="78"/>
      <c r="D319" s="78"/>
      <c r="E319" s="78"/>
      <c r="F319" s="78"/>
    </row>
    <row r="320" spans="2:6" ht="12.6" customHeight="1" x14ac:dyDescent="0.3">
      <c r="B320" s="78"/>
      <c r="C320" s="78"/>
      <c r="D320" s="78"/>
      <c r="E320" s="78"/>
      <c r="F320" s="78"/>
    </row>
    <row r="321" spans="2:6" ht="12.6" customHeight="1" x14ac:dyDescent="0.3">
      <c r="B321" s="78"/>
      <c r="C321" s="78"/>
      <c r="D321" s="78"/>
      <c r="E321" s="78"/>
      <c r="F321" s="78"/>
    </row>
    <row r="322" spans="2:6" ht="12.6" customHeight="1" x14ac:dyDescent="0.3">
      <c r="B322" s="78"/>
      <c r="C322" s="78"/>
      <c r="D322" s="78"/>
      <c r="E322" s="78"/>
      <c r="F322" s="78"/>
    </row>
    <row r="323" spans="2:6" ht="12.6" customHeight="1" x14ac:dyDescent="0.3">
      <c r="B323" s="78"/>
      <c r="C323" s="78"/>
      <c r="D323" s="78"/>
      <c r="E323" s="78"/>
      <c r="F323" s="78"/>
    </row>
    <row r="324" spans="2:6" ht="12.6" customHeight="1" x14ac:dyDescent="0.3">
      <c r="B324" s="78"/>
      <c r="C324" s="78"/>
      <c r="D324" s="78"/>
      <c r="E324" s="78"/>
      <c r="F324" s="78"/>
    </row>
    <row r="325" spans="2:6" ht="12.6" customHeight="1" x14ac:dyDescent="0.3">
      <c r="B325" s="78"/>
      <c r="C325" s="78"/>
      <c r="D325" s="78"/>
      <c r="E325" s="78"/>
      <c r="F325" s="78"/>
    </row>
    <row r="326" spans="2:6" ht="12.6" customHeight="1" x14ac:dyDescent="0.3">
      <c r="B326" s="78"/>
      <c r="C326" s="78"/>
      <c r="D326" s="78"/>
      <c r="E326" s="78"/>
      <c r="F326" s="78"/>
    </row>
    <row r="327" spans="2:6" ht="12.6" customHeight="1" x14ac:dyDescent="0.3">
      <c r="B327" s="78"/>
      <c r="C327" s="78"/>
      <c r="D327" s="78"/>
      <c r="E327" s="78"/>
      <c r="F327" s="78"/>
    </row>
    <row r="328" spans="2:6" ht="12.6" customHeight="1" x14ac:dyDescent="0.3">
      <c r="B328" s="78"/>
      <c r="C328" s="78"/>
      <c r="D328" s="78"/>
      <c r="E328" s="78"/>
      <c r="F328" s="78"/>
    </row>
    <row r="329" spans="2:6" ht="12.6" customHeight="1" x14ac:dyDescent="0.3">
      <c r="B329" s="78"/>
      <c r="C329" s="78"/>
      <c r="D329" s="78"/>
      <c r="E329" s="78"/>
      <c r="F329" s="78"/>
    </row>
    <row r="330" spans="2:6" ht="12.6" customHeight="1" x14ac:dyDescent="0.3">
      <c r="B330" s="78"/>
      <c r="C330" s="78"/>
      <c r="D330" s="78"/>
      <c r="E330" s="78"/>
      <c r="F330" s="78"/>
    </row>
    <row r="331" spans="2:6" ht="12.6" customHeight="1" x14ac:dyDescent="0.3">
      <c r="B331" s="78"/>
      <c r="C331" s="78"/>
      <c r="D331" s="78"/>
      <c r="E331" s="78"/>
      <c r="F331" s="78"/>
    </row>
    <row r="332" spans="2:6" ht="12.6" customHeight="1" x14ac:dyDescent="0.3">
      <c r="B332" s="78"/>
      <c r="C332" s="78"/>
      <c r="D332" s="78"/>
      <c r="E332" s="78"/>
      <c r="F332" s="78"/>
    </row>
    <row r="333" spans="2:6" ht="12.6" customHeight="1" x14ac:dyDescent="0.3">
      <c r="B333" s="78"/>
      <c r="C333" s="78"/>
      <c r="D333" s="78"/>
      <c r="E333" s="78"/>
      <c r="F333" s="78"/>
    </row>
    <row r="334" spans="2:6" ht="12.6" customHeight="1" x14ac:dyDescent="0.3">
      <c r="B334" s="78"/>
      <c r="C334" s="78"/>
      <c r="D334" s="78"/>
      <c r="E334" s="78"/>
      <c r="F334" s="78"/>
    </row>
    <row r="335" spans="2:6" ht="12.6" customHeight="1" x14ac:dyDescent="0.3">
      <c r="B335" s="78"/>
      <c r="C335" s="78"/>
      <c r="D335" s="78"/>
      <c r="E335" s="78"/>
      <c r="F335" s="78"/>
    </row>
    <row r="336" spans="2:6" ht="12.6" customHeight="1" x14ac:dyDescent="0.3">
      <c r="B336" s="78"/>
      <c r="C336" s="78"/>
      <c r="D336" s="78"/>
      <c r="E336" s="78"/>
      <c r="F336" s="78"/>
    </row>
    <row r="337" spans="2:6" ht="12.6" customHeight="1" x14ac:dyDescent="0.3">
      <c r="B337" s="78"/>
      <c r="C337" s="78"/>
      <c r="D337" s="78"/>
      <c r="E337" s="78"/>
      <c r="F337" s="78"/>
    </row>
    <row r="338" spans="2:6" ht="12.6" customHeight="1" x14ac:dyDescent="0.3">
      <c r="B338" s="78"/>
      <c r="C338" s="78"/>
      <c r="D338" s="78"/>
      <c r="E338" s="78"/>
      <c r="F338" s="78"/>
    </row>
    <row r="339" spans="2:6" ht="12.6" customHeight="1" x14ac:dyDescent="0.3">
      <c r="B339" s="78"/>
      <c r="C339" s="78"/>
      <c r="D339" s="78"/>
      <c r="E339" s="78"/>
      <c r="F339" s="78"/>
    </row>
    <row r="340" spans="2:6" ht="12.6" customHeight="1" x14ac:dyDescent="0.3">
      <c r="B340" s="78"/>
      <c r="C340" s="78"/>
      <c r="D340" s="78"/>
      <c r="E340" s="78"/>
      <c r="F340" s="78"/>
    </row>
    <row r="341" spans="2:6" ht="12.6" customHeight="1" x14ac:dyDescent="0.3">
      <c r="B341" s="78"/>
      <c r="C341" s="78"/>
      <c r="D341" s="78"/>
      <c r="E341" s="78"/>
      <c r="F341" s="78"/>
    </row>
    <row r="342" spans="2:6" ht="12.6" customHeight="1" x14ac:dyDescent="0.3">
      <c r="B342" s="78"/>
      <c r="C342" s="78"/>
      <c r="D342" s="78"/>
      <c r="E342" s="78"/>
      <c r="F342" s="78"/>
    </row>
    <row r="343" spans="2:6" ht="12.6" customHeight="1" x14ac:dyDescent="0.3">
      <c r="B343" s="78"/>
      <c r="C343" s="78"/>
      <c r="D343" s="78"/>
      <c r="E343" s="78"/>
      <c r="F343" s="78"/>
    </row>
    <row r="344" spans="2:6" ht="12.6" customHeight="1" x14ac:dyDescent="0.3">
      <c r="B344" s="78"/>
      <c r="C344" s="78"/>
      <c r="D344" s="78"/>
      <c r="E344" s="78"/>
      <c r="F344" s="78"/>
    </row>
    <row r="345" spans="2:6" ht="12.6" customHeight="1" x14ac:dyDescent="0.3">
      <c r="B345" s="78"/>
      <c r="C345" s="78"/>
      <c r="D345" s="78"/>
      <c r="E345" s="78"/>
      <c r="F345" s="78"/>
    </row>
    <row r="346" spans="2:6" ht="12.6" customHeight="1" x14ac:dyDescent="0.3">
      <c r="B346" s="78"/>
      <c r="C346" s="78"/>
      <c r="D346" s="78"/>
      <c r="E346" s="78"/>
      <c r="F346" s="78"/>
    </row>
    <row r="347" spans="2:6" ht="12.6" customHeight="1" x14ac:dyDescent="0.3">
      <c r="B347" s="78"/>
      <c r="C347" s="78"/>
      <c r="D347" s="78"/>
      <c r="E347" s="78"/>
      <c r="F347" s="78"/>
    </row>
    <row r="348" spans="2:6" ht="12.6" customHeight="1" x14ac:dyDescent="0.3">
      <c r="B348" s="78"/>
      <c r="C348" s="78"/>
      <c r="D348" s="78"/>
      <c r="E348" s="78"/>
      <c r="F348" s="78"/>
    </row>
    <row r="349" spans="2:6" ht="12.6" customHeight="1" x14ac:dyDescent="0.3">
      <c r="B349" s="78"/>
      <c r="C349" s="78"/>
      <c r="D349" s="78"/>
      <c r="E349" s="78"/>
      <c r="F349" s="78"/>
    </row>
    <row r="350" spans="2:6" ht="12.6" customHeight="1" x14ac:dyDescent="0.3">
      <c r="B350" s="78"/>
      <c r="C350" s="78"/>
      <c r="D350" s="78"/>
      <c r="E350" s="78"/>
      <c r="F350" s="78"/>
    </row>
    <row r="351" spans="2:6" ht="12.6" customHeight="1" x14ac:dyDescent="0.3">
      <c r="B351" s="78"/>
      <c r="C351" s="78"/>
      <c r="D351" s="78"/>
      <c r="E351" s="78"/>
      <c r="F351" s="78"/>
    </row>
    <row r="352" spans="2:6" ht="12.6" customHeight="1" x14ac:dyDescent="0.3">
      <c r="B352" s="78"/>
      <c r="C352" s="78"/>
      <c r="D352" s="78"/>
      <c r="E352" s="78"/>
      <c r="F352" s="78"/>
    </row>
    <row r="353" spans="2:6" ht="12.6" customHeight="1" x14ac:dyDescent="0.3">
      <c r="B353" s="78"/>
      <c r="C353" s="78"/>
      <c r="D353" s="78"/>
      <c r="E353" s="78"/>
      <c r="F353" s="78"/>
    </row>
    <row r="354" spans="2:6" ht="12.6" customHeight="1" x14ac:dyDescent="0.3">
      <c r="B354" s="78"/>
      <c r="C354" s="78"/>
      <c r="D354" s="78"/>
      <c r="E354" s="78"/>
      <c r="F354" s="78"/>
    </row>
    <row r="355" spans="2:6" ht="12.6" customHeight="1" x14ac:dyDescent="0.3">
      <c r="B355" s="78"/>
      <c r="C355" s="78"/>
      <c r="D355" s="78"/>
      <c r="E355" s="78"/>
      <c r="F355" s="78"/>
    </row>
    <row r="356" spans="2:6" ht="12.6" customHeight="1" x14ac:dyDescent="0.3">
      <c r="B356" s="78"/>
      <c r="C356" s="78"/>
      <c r="D356" s="78"/>
      <c r="E356" s="78"/>
      <c r="F356" s="78"/>
    </row>
    <row r="357" spans="2:6" ht="12.6" customHeight="1" x14ac:dyDescent="0.3">
      <c r="B357" s="78"/>
      <c r="C357" s="78"/>
      <c r="D357" s="78"/>
      <c r="E357" s="78"/>
      <c r="F357" s="78"/>
    </row>
    <row r="358" spans="2:6" ht="12.6" customHeight="1" x14ac:dyDescent="0.3">
      <c r="B358" s="78"/>
      <c r="C358" s="78"/>
      <c r="D358" s="78"/>
      <c r="E358" s="78"/>
      <c r="F358" s="78"/>
    </row>
    <row r="359" spans="2:6" ht="12.6" customHeight="1" x14ac:dyDescent="0.3">
      <c r="B359" s="78"/>
      <c r="C359" s="78"/>
      <c r="D359" s="78"/>
      <c r="E359" s="78"/>
      <c r="F359" s="78"/>
    </row>
    <row r="360" spans="2:6" ht="12.6" customHeight="1" x14ac:dyDescent="0.3">
      <c r="B360" s="78"/>
      <c r="C360" s="78"/>
      <c r="D360" s="78"/>
      <c r="E360" s="78"/>
      <c r="F360" s="78"/>
    </row>
    <row r="361" spans="2:6" ht="12.6" customHeight="1" x14ac:dyDescent="0.3">
      <c r="B361" s="78"/>
      <c r="C361" s="78"/>
      <c r="D361" s="78"/>
      <c r="E361" s="78"/>
      <c r="F361" s="78"/>
    </row>
    <row r="362" spans="2:6" ht="12.6" customHeight="1" x14ac:dyDescent="0.3">
      <c r="B362" s="78"/>
      <c r="C362" s="78"/>
      <c r="D362" s="78"/>
      <c r="E362" s="78"/>
      <c r="F362" s="78"/>
    </row>
    <row r="363" spans="2:6" ht="12.6" customHeight="1" x14ac:dyDescent="0.3">
      <c r="B363" s="78"/>
      <c r="C363" s="78"/>
      <c r="D363" s="78"/>
      <c r="E363" s="78"/>
      <c r="F363" s="78"/>
    </row>
    <row r="364" spans="2:6" ht="12.6" customHeight="1" x14ac:dyDescent="0.3">
      <c r="B364" s="78"/>
      <c r="C364" s="78"/>
      <c r="D364" s="78"/>
      <c r="E364" s="78"/>
      <c r="F364" s="78"/>
    </row>
    <row r="365" spans="2:6" ht="12.6" customHeight="1" x14ac:dyDescent="0.3">
      <c r="B365" s="78"/>
      <c r="C365" s="78"/>
      <c r="D365" s="78"/>
      <c r="E365" s="78"/>
      <c r="F365" s="78"/>
    </row>
    <row r="366" spans="2:6" ht="12.6" customHeight="1" x14ac:dyDescent="0.3">
      <c r="B366" s="78"/>
      <c r="C366" s="78"/>
      <c r="D366" s="78"/>
      <c r="E366" s="78"/>
      <c r="F366" s="78"/>
    </row>
    <row r="367" spans="2:6" ht="12.6" customHeight="1" x14ac:dyDescent="0.3">
      <c r="B367" s="78"/>
      <c r="C367" s="78"/>
      <c r="D367" s="78"/>
      <c r="E367" s="78"/>
      <c r="F367" s="78"/>
    </row>
    <row r="368" spans="2:6" ht="12.6" customHeight="1" x14ac:dyDescent="0.3">
      <c r="B368" s="78"/>
      <c r="C368" s="78"/>
      <c r="D368" s="78"/>
      <c r="E368" s="78"/>
      <c r="F368" s="78"/>
    </row>
    <row r="369" spans="2:6" ht="12.6" customHeight="1" x14ac:dyDescent="0.3">
      <c r="B369" s="78"/>
      <c r="C369" s="78"/>
      <c r="D369" s="78"/>
      <c r="E369" s="78"/>
      <c r="F369" s="78"/>
    </row>
    <row r="370" spans="2:6" ht="12.6" customHeight="1" x14ac:dyDescent="0.3">
      <c r="B370" s="78"/>
      <c r="C370" s="78"/>
      <c r="D370" s="78"/>
      <c r="E370" s="78"/>
      <c r="F370" s="78"/>
    </row>
    <row r="371" spans="2:6" ht="12.6" customHeight="1" x14ac:dyDescent="0.3">
      <c r="B371" s="78"/>
      <c r="C371" s="78"/>
      <c r="D371" s="78"/>
      <c r="E371" s="78"/>
      <c r="F371" s="78"/>
    </row>
    <row r="372" spans="2:6" ht="12.6" customHeight="1" x14ac:dyDescent="0.3">
      <c r="B372" s="78"/>
      <c r="C372" s="78"/>
      <c r="D372" s="78"/>
      <c r="E372" s="78"/>
      <c r="F372" s="78"/>
    </row>
    <row r="373" spans="2:6" ht="12.6" customHeight="1" x14ac:dyDescent="0.3">
      <c r="B373" s="78"/>
      <c r="C373" s="78"/>
      <c r="D373" s="78"/>
      <c r="E373" s="78"/>
      <c r="F373" s="78"/>
    </row>
    <row r="374" spans="2:6" ht="12.6" customHeight="1" x14ac:dyDescent="0.3">
      <c r="B374" s="78"/>
      <c r="C374" s="78"/>
      <c r="D374" s="78"/>
      <c r="E374" s="78"/>
      <c r="F374" s="78"/>
    </row>
    <row r="375" spans="2:6" ht="12.6" customHeight="1" x14ac:dyDescent="0.3">
      <c r="B375" s="78"/>
      <c r="C375" s="78"/>
      <c r="D375" s="78"/>
      <c r="E375" s="78"/>
      <c r="F375" s="78"/>
    </row>
    <row r="376" spans="2:6" ht="12.6" customHeight="1" x14ac:dyDescent="0.3">
      <c r="B376" s="78"/>
      <c r="C376" s="78"/>
      <c r="D376" s="78"/>
      <c r="E376" s="78"/>
      <c r="F376" s="78"/>
    </row>
    <row r="377" spans="2:6" ht="12.6" customHeight="1" x14ac:dyDescent="0.3">
      <c r="B377" s="78"/>
      <c r="C377" s="78"/>
      <c r="D377" s="78"/>
      <c r="E377" s="78"/>
      <c r="F377" s="78"/>
    </row>
    <row r="378" spans="2:6" ht="12.6" customHeight="1" x14ac:dyDescent="0.3">
      <c r="B378" s="78"/>
      <c r="C378" s="78"/>
      <c r="D378" s="78"/>
      <c r="E378" s="78"/>
      <c r="F378" s="78"/>
    </row>
    <row r="379" spans="2:6" ht="12.6" customHeight="1" x14ac:dyDescent="0.3">
      <c r="B379" s="78"/>
      <c r="C379" s="78"/>
      <c r="D379" s="78"/>
      <c r="E379" s="78"/>
      <c r="F379" s="78"/>
    </row>
    <row r="380" spans="2:6" ht="12.6" customHeight="1" x14ac:dyDescent="0.3">
      <c r="B380" s="78"/>
      <c r="C380" s="78"/>
      <c r="D380" s="78"/>
      <c r="E380" s="78"/>
      <c r="F380" s="78"/>
    </row>
    <row r="381" spans="2:6" ht="12.6" customHeight="1" x14ac:dyDescent="0.3">
      <c r="B381" s="78"/>
      <c r="C381" s="78"/>
      <c r="D381" s="78"/>
      <c r="E381" s="78"/>
      <c r="F381" s="78"/>
    </row>
    <row r="382" spans="2:6" ht="12.6" customHeight="1" x14ac:dyDescent="0.3">
      <c r="B382" s="78"/>
      <c r="C382" s="78"/>
      <c r="D382" s="78"/>
      <c r="E382" s="78"/>
      <c r="F382" s="78"/>
    </row>
    <row r="383" spans="2:6" ht="12.6" customHeight="1" x14ac:dyDescent="0.3">
      <c r="B383" s="78"/>
      <c r="C383" s="78"/>
      <c r="D383" s="78"/>
      <c r="E383" s="78"/>
      <c r="F383" s="78"/>
    </row>
    <row r="384" spans="2:6" ht="12.6" customHeight="1" x14ac:dyDescent="0.3">
      <c r="B384" s="78"/>
      <c r="C384" s="78"/>
      <c r="D384" s="78"/>
      <c r="E384" s="78"/>
      <c r="F384" s="78"/>
    </row>
    <row r="385" spans="2:6" ht="12.6" customHeight="1" x14ac:dyDescent="0.3">
      <c r="B385" s="78"/>
      <c r="C385" s="78"/>
      <c r="D385" s="78"/>
      <c r="E385" s="78"/>
      <c r="F385" s="78"/>
    </row>
    <row r="386" spans="2:6" ht="12.6" customHeight="1" x14ac:dyDescent="0.3">
      <c r="B386" s="78"/>
      <c r="C386" s="78"/>
      <c r="D386" s="78"/>
      <c r="E386" s="78"/>
      <c r="F386" s="78"/>
    </row>
    <row r="387" spans="2:6" ht="12.6" customHeight="1" x14ac:dyDescent="0.3">
      <c r="B387" s="78"/>
      <c r="C387" s="78"/>
      <c r="D387" s="78"/>
      <c r="E387" s="78"/>
      <c r="F387" s="78"/>
    </row>
    <row r="388" spans="2:6" ht="12.6" customHeight="1" x14ac:dyDescent="0.3">
      <c r="B388" s="78"/>
      <c r="C388" s="78"/>
      <c r="D388" s="78"/>
      <c r="E388" s="78"/>
      <c r="F388" s="78"/>
    </row>
    <row r="389" spans="2:6" ht="12.6" customHeight="1" x14ac:dyDescent="0.3">
      <c r="B389" s="78"/>
      <c r="C389" s="78"/>
      <c r="D389" s="78"/>
      <c r="E389" s="78"/>
      <c r="F389" s="78"/>
    </row>
    <row r="390" spans="2:6" ht="12.6" customHeight="1" x14ac:dyDescent="0.3">
      <c r="B390" s="78"/>
      <c r="C390" s="78"/>
      <c r="D390" s="78"/>
      <c r="E390" s="78"/>
      <c r="F390" s="78"/>
    </row>
    <row r="391" spans="2:6" ht="12.6" customHeight="1" x14ac:dyDescent="0.3">
      <c r="B391" s="78"/>
      <c r="C391" s="78"/>
      <c r="D391" s="78"/>
      <c r="E391" s="78"/>
      <c r="F391" s="78"/>
    </row>
    <row r="392" spans="2:6" ht="12.6" customHeight="1" x14ac:dyDescent="0.3">
      <c r="B392" s="78"/>
      <c r="C392" s="78"/>
      <c r="D392" s="78"/>
      <c r="E392" s="78"/>
      <c r="F392" s="78"/>
    </row>
    <row r="393" spans="2:6" ht="12.6" customHeight="1" x14ac:dyDescent="0.3">
      <c r="B393" s="78"/>
      <c r="C393" s="78"/>
      <c r="D393" s="78"/>
      <c r="E393" s="78"/>
      <c r="F393" s="78"/>
    </row>
    <row r="394" spans="2:6" ht="12.6" customHeight="1" x14ac:dyDescent="0.3">
      <c r="B394" s="78"/>
      <c r="C394" s="78"/>
      <c r="D394" s="78"/>
      <c r="E394" s="78"/>
      <c r="F394" s="78"/>
    </row>
    <row r="395" spans="2:6" ht="12.6" customHeight="1" x14ac:dyDescent="0.3">
      <c r="B395" s="78"/>
      <c r="C395" s="78"/>
      <c r="D395" s="78"/>
      <c r="E395" s="78"/>
      <c r="F395" s="78"/>
    </row>
    <row r="396" spans="2:6" ht="12.6" customHeight="1" x14ac:dyDescent="0.3">
      <c r="B396" s="78"/>
      <c r="C396" s="78"/>
      <c r="D396" s="78"/>
      <c r="E396" s="78"/>
      <c r="F396" s="78"/>
    </row>
    <row r="397" spans="2:6" ht="12.6" customHeight="1" x14ac:dyDescent="0.3">
      <c r="B397" s="78"/>
      <c r="C397" s="78"/>
      <c r="D397" s="78"/>
      <c r="E397" s="78"/>
      <c r="F397" s="78"/>
    </row>
    <row r="398" spans="2:6" ht="12.6" customHeight="1" x14ac:dyDescent="0.3">
      <c r="B398" s="78"/>
      <c r="C398" s="78"/>
      <c r="D398" s="78"/>
      <c r="E398" s="78"/>
      <c r="F398" s="78"/>
    </row>
    <row r="399" spans="2:6" ht="12.6" customHeight="1" x14ac:dyDescent="0.3">
      <c r="B399" s="78"/>
      <c r="C399" s="78"/>
      <c r="D399" s="78"/>
      <c r="E399" s="78"/>
      <c r="F399" s="78"/>
    </row>
    <row r="400" spans="2:6" ht="12.6" customHeight="1" x14ac:dyDescent="0.3">
      <c r="B400" s="78"/>
      <c r="C400" s="78"/>
      <c r="D400" s="78"/>
      <c r="E400" s="78"/>
      <c r="F400" s="78"/>
    </row>
    <row r="401" spans="2:6" ht="12.6" customHeight="1" x14ac:dyDescent="0.3">
      <c r="B401" s="78"/>
      <c r="C401" s="78"/>
      <c r="D401" s="78"/>
      <c r="E401" s="78"/>
      <c r="F401" s="78"/>
    </row>
    <row r="402" spans="2:6" ht="12.6" customHeight="1" x14ac:dyDescent="0.3">
      <c r="B402" s="78"/>
      <c r="C402" s="78"/>
      <c r="D402" s="78"/>
      <c r="E402" s="78"/>
      <c r="F402" s="78"/>
    </row>
    <row r="403" spans="2:6" ht="12.6" customHeight="1" x14ac:dyDescent="0.3">
      <c r="B403" s="78"/>
      <c r="C403" s="78"/>
      <c r="D403" s="78"/>
      <c r="E403" s="78"/>
      <c r="F403" s="78"/>
    </row>
    <row r="404" spans="2:6" ht="12.6" customHeight="1" x14ac:dyDescent="0.3">
      <c r="B404" s="78"/>
      <c r="C404" s="78"/>
      <c r="D404" s="78"/>
      <c r="E404" s="78"/>
      <c r="F404" s="78"/>
    </row>
    <row r="405" spans="2:6" ht="12.6" customHeight="1" x14ac:dyDescent="0.3">
      <c r="B405" s="78"/>
      <c r="C405" s="78"/>
      <c r="D405" s="78"/>
      <c r="E405" s="78"/>
      <c r="F405" s="78"/>
    </row>
    <row r="406" spans="2:6" ht="12.6" customHeight="1" x14ac:dyDescent="0.3">
      <c r="B406" s="78"/>
      <c r="C406" s="78"/>
      <c r="D406" s="78"/>
      <c r="E406" s="78"/>
      <c r="F406" s="78"/>
    </row>
    <row r="407" spans="2:6" ht="12.6" customHeight="1" x14ac:dyDescent="0.3">
      <c r="B407" s="78"/>
      <c r="C407" s="78"/>
      <c r="D407" s="78"/>
      <c r="E407" s="78"/>
      <c r="F407" s="78"/>
    </row>
    <row r="408" spans="2:6" ht="12.6" customHeight="1" x14ac:dyDescent="0.3">
      <c r="B408" s="78"/>
      <c r="C408" s="78"/>
      <c r="D408" s="78"/>
      <c r="E408" s="78"/>
      <c r="F408" s="78"/>
    </row>
    <row r="409" spans="2:6" ht="12.6" customHeight="1" x14ac:dyDescent="0.3">
      <c r="B409" s="78"/>
      <c r="C409" s="78"/>
      <c r="D409" s="78"/>
      <c r="E409" s="78"/>
      <c r="F409" s="78"/>
    </row>
    <row r="410" spans="2:6" ht="12.6" customHeight="1" x14ac:dyDescent="0.3">
      <c r="B410" s="78"/>
      <c r="C410" s="78"/>
      <c r="D410" s="78"/>
      <c r="E410" s="78"/>
      <c r="F410" s="78"/>
    </row>
    <row r="411" spans="2:6" ht="12.6" customHeight="1" x14ac:dyDescent="0.3">
      <c r="B411" s="78"/>
      <c r="C411" s="78"/>
      <c r="D411" s="78"/>
      <c r="E411" s="78"/>
      <c r="F411" s="78"/>
    </row>
    <row r="412" spans="2:6" ht="12.6" customHeight="1" x14ac:dyDescent="0.3">
      <c r="B412" s="78"/>
      <c r="C412" s="78"/>
      <c r="D412" s="78"/>
      <c r="E412" s="78"/>
      <c r="F412" s="78"/>
    </row>
    <row r="413" spans="2:6" ht="12.6" customHeight="1" x14ac:dyDescent="0.3">
      <c r="B413" s="78"/>
      <c r="C413" s="78"/>
      <c r="D413" s="78"/>
      <c r="E413" s="78"/>
      <c r="F413" s="78"/>
    </row>
    <row r="414" spans="2:6" ht="12.6" customHeight="1" x14ac:dyDescent="0.3">
      <c r="B414" s="78"/>
      <c r="C414" s="78"/>
      <c r="D414" s="78"/>
      <c r="E414" s="78"/>
      <c r="F414" s="78"/>
    </row>
    <row r="415" spans="2:6" ht="12.6" customHeight="1" x14ac:dyDescent="0.3">
      <c r="B415" s="78"/>
      <c r="C415" s="78"/>
      <c r="D415" s="78"/>
      <c r="E415" s="78"/>
      <c r="F415" s="78"/>
    </row>
    <row r="416" spans="2:6" ht="12.6" customHeight="1" x14ac:dyDescent="0.3">
      <c r="B416" s="78"/>
      <c r="C416" s="78"/>
      <c r="D416" s="78"/>
      <c r="E416" s="78"/>
      <c r="F416" s="78"/>
    </row>
    <row r="417" spans="2:6" ht="12.6" customHeight="1" x14ac:dyDescent="0.3">
      <c r="B417" s="78"/>
      <c r="C417" s="78"/>
      <c r="D417" s="78"/>
      <c r="E417" s="78"/>
      <c r="F417" s="78"/>
    </row>
    <row r="418" spans="2:6" ht="12.6" customHeight="1" x14ac:dyDescent="0.3">
      <c r="B418" s="78"/>
      <c r="C418" s="78"/>
      <c r="D418" s="78"/>
      <c r="E418" s="78"/>
      <c r="F418" s="78"/>
    </row>
    <row r="419" spans="2:6" ht="12.6" customHeight="1" x14ac:dyDescent="0.3">
      <c r="B419" s="78"/>
      <c r="C419" s="78"/>
      <c r="D419" s="78"/>
      <c r="E419" s="78"/>
      <c r="F419" s="78"/>
    </row>
    <row r="420" spans="2:6" ht="12.6" customHeight="1" x14ac:dyDescent="0.3">
      <c r="B420" s="78"/>
      <c r="C420" s="78"/>
      <c r="D420" s="78"/>
      <c r="E420" s="78"/>
      <c r="F420" s="78"/>
    </row>
    <row r="421" spans="2:6" ht="12.6" customHeight="1" x14ac:dyDescent="0.3">
      <c r="B421" s="78"/>
      <c r="C421" s="78"/>
      <c r="D421" s="78"/>
      <c r="E421" s="78"/>
      <c r="F421" s="78"/>
    </row>
    <row r="422" spans="2:6" ht="12.6" customHeight="1" x14ac:dyDescent="0.3">
      <c r="B422" s="78"/>
      <c r="C422" s="78"/>
      <c r="D422" s="78"/>
      <c r="E422" s="78"/>
      <c r="F422" s="78"/>
    </row>
    <row r="423" spans="2:6" ht="12.6" customHeight="1" x14ac:dyDescent="0.3">
      <c r="B423" s="78"/>
      <c r="C423" s="78"/>
      <c r="D423" s="78"/>
      <c r="E423" s="78"/>
      <c r="F423" s="78"/>
    </row>
    <row r="424" spans="2:6" ht="12.6" customHeight="1" x14ac:dyDescent="0.3">
      <c r="B424" s="78"/>
      <c r="C424" s="78"/>
      <c r="D424" s="78"/>
      <c r="E424" s="78"/>
      <c r="F424" s="78"/>
    </row>
    <row r="425" spans="2:6" ht="12.6" customHeight="1" x14ac:dyDescent="0.3">
      <c r="B425" s="78"/>
      <c r="C425" s="78"/>
      <c r="D425" s="78"/>
      <c r="E425" s="78"/>
      <c r="F425" s="78"/>
    </row>
    <row r="426" spans="2:6" ht="12.6" customHeight="1" x14ac:dyDescent="0.3">
      <c r="B426" s="78"/>
      <c r="C426" s="78"/>
      <c r="D426" s="78"/>
      <c r="E426" s="78"/>
      <c r="F426" s="78"/>
    </row>
    <row r="427" spans="2:6" ht="12.6" customHeight="1" x14ac:dyDescent="0.3">
      <c r="B427" s="78"/>
      <c r="C427" s="78"/>
      <c r="D427" s="78"/>
      <c r="E427" s="78"/>
      <c r="F427" s="78"/>
    </row>
    <row r="428" spans="2:6" ht="12.6" customHeight="1" x14ac:dyDescent="0.3">
      <c r="B428" s="78"/>
      <c r="C428" s="78"/>
      <c r="D428" s="78"/>
      <c r="E428" s="78"/>
      <c r="F428" s="78"/>
    </row>
    <row r="429" spans="2:6" ht="12.6" customHeight="1" x14ac:dyDescent="0.3">
      <c r="B429" s="78"/>
      <c r="C429" s="78"/>
      <c r="D429" s="78"/>
      <c r="E429" s="78"/>
      <c r="F429" s="78"/>
    </row>
    <row r="430" spans="2:6" ht="12.6" customHeight="1" x14ac:dyDescent="0.3">
      <c r="B430" s="78"/>
      <c r="C430" s="78"/>
      <c r="D430" s="78"/>
      <c r="E430" s="78"/>
      <c r="F430" s="78"/>
    </row>
    <row r="431" spans="2:6" ht="12.6" customHeight="1" x14ac:dyDescent="0.3">
      <c r="B431" s="78"/>
      <c r="C431" s="78"/>
      <c r="D431" s="78"/>
      <c r="E431" s="78"/>
      <c r="F431" s="78"/>
    </row>
    <row r="432" spans="2:6" ht="12.6" customHeight="1" x14ac:dyDescent="0.3">
      <c r="B432" s="78"/>
      <c r="C432" s="78"/>
      <c r="D432" s="78"/>
      <c r="E432" s="78"/>
      <c r="F432" s="78"/>
    </row>
    <row r="433" spans="2:6" ht="12.6" customHeight="1" x14ac:dyDescent="0.3">
      <c r="B433" s="78"/>
      <c r="C433" s="78"/>
      <c r="D433" s="78"/>
      <c r="E433" s="78"/>
      <c r="F433" s="78"/>
    </row>
    <row r="434" spans="2:6" ht="12.6" customHeight="1" x14ac:dyDescent="0.3">
      <c r="B434" s="78"/>
      <c r="C434" s="78"/>
      <c r="D434" s="78"/>
      <c r="E434" s="78"/>
      <c r="F434" s="78"/>
    </row>
    <row r="435" spans="2:6" ht="12.6" customHeight="1" x14ac:dyDescent="0.3">
      <c r="B435" s="78"/>
      <c r="C435" s="78"/>
      <c r="D435" s="78"/>
      <c r="E435" s="78"/>
      <c r="F435" s="78"/>
    </row>
    <row r="436" spans="2:6" ht="12.6" customHeight="1" x14ac:dyDescent="0.3">
      <c r="B436" s="78"/>
      <c r="C436" s="78"/>
      <c r="D436" s="78"/>
      <c r="E436" s="78"/>
      <c r="F436" s="78"/>
    </row>
    <row r="437" spans="2:6" ht="12.6" customHeight="1" x14ac:dyDescent="0.3">
      <c r="B437" s="78"/>
      <c r="C437" s="78"/>
      <c r="D437" s="78"/>
      <c r="E437" s="78"/>
      <c r="F437" s="78"/>
    </row>
    <row r="438" spans="2:6" ht="12.6" customHeight="1" x14ac:dyDescent="0.3">
      <c r="B438" s="78"/>
      <c r="C438" s="78"/>
      <c r="D438" s="78"/>
      <c r="E438" s="78"/>
      <c r="F438" s="78"/>
    </row>
    <row r="439" spans="2:6" ht="12.6" customHeight="1" x14ac:dyDescent="0.3">
      <c r="B439" s="78"/>
      <c r="C439" s="78"/>
      <c r="D439" s="78"/>
      <c r="E439" s="78"/>
      <c r="F439" s="78"/>
    </row>
    <row r="440" spans="2:6" ht="12.6" customHeight="1" x14ac:dyDescent="0.3">
      <c r="B440" s="78"/>
      <c r="C440" s="78"/>
      <c r="D440" s="78"/>
      <c r="E440" s="78"/>
      <c r="F440" s="78"/>
    </row>
    <row r="441" spans="2:6" ht="12.6" customHeight="1" x14ac:dyDescent="0.3">
      <c r="B441" s="78"/>
      <c r="C441" s="78"/>
      <c r="D441" s="78"/>
      <c r="E441" s="78"/>
      <c r="F441" s="78"/>
    </row>
    <row r="442" spans="2:6" ht="12.6" customHeight="1" x14ac:dyDescent="0.3">
      <c r="B442" s="78"/>
      <c r="C442" s="78"/>
      <c r="D442" s="78"/>
      <c r="E442" s="78"/>
      <c r="F442" s="78"/>
    </row>
    <row r="443" spans="2:6" ht="12.6" customHeight="1" x14ac:dyDescent="0.3">
      <c r="B443" s="78"/>
      <c r="C443" s="78"/>
      <c r="D443" s="78"/>
      <c r="E443" s="78"/>
      <c r="F443" s="78"/>
    </row>
    <row r="444" spans="2:6" ht="12.6" customHeight="1" x14ac:dyDescent="0.3">
      <c r="B444" s="78"/>
      <c r="C444" s="78"/>
      <c r="D444" s="78"/>
      <c r="E444" s="78"/>
      <c r="F444" s="78"/>
    </row>
    <row r="445" spans="2:6" ht="12.6" customHeight="1" x14ac:dyDescent="0.3">
      <c r="B445" s="78"/>
      <c r="C445" s="78"/>
      <c r="D445" s="78"/>
      <c r="E445" s="78"/>
      <c r="F445" s="78"/>
    </row>
    <row r="446" spans="2:6" ht="12.6" customHeight="1" x14ac:dyDescent="0.3">
      <c r="B446" s="78"/>
      <c r="C446" s="78"/>
      <c r="D446" s="78"/>
      <c r="E446" s="78"/>
      <c r="F446" s="78"/>
    </row>
    <row r="447" spans="2:6" ht="12.6" customHeight="1" x14ac:dyDescent="0.3">
      <c r="B447" s="78"/>
      <c r="C447" s="78"/>
      <c r="D447" s="78"/>
      <c r="E447" s="78"/>
      <c r="F447" s="78"/>
    </row>
    <row r="448" spans="2:6" ht="12.6" customHeight="1" x14ac:dyDescent="0.3">
      <c r="B448" s="78"/>
      <c r="C448" s="78"/>
      <c r="D448" s="78"/>
      <c r="E448" s="78"/>
      <c r="F448" s="78"/>
    </row>
    <row r="449" spans="2:6" ht="12.6" customHeight="1" x14ac:dyDescent="0.3">
      <c r="B449" s="78"/>
      <c r="C449" s="78"/>
      <c r="D449" s="78"/>
      <c r="E449" s="78"/>
      <c r="F449" s="78"/>
    </row>
    <row r="450" spans="2:6" ht="12.6" customHeight="1" x14ac:dyDescent="0.3">
      <c r="B450" s="78"/>
      <c r="C450" s="78"/>
      <c r="D450" s="78"/>
      <c r="E450" s="78"/>
      <c r="F450" s="78"/>
    </row>
    <row r="451" spans="2:6" ht="12.6" customHeight="1" x14ac:dyDescent="0.3">
      <c r="B451" s="78"/>
      <c r="C451" s="78"/>
      <c r="D451" s="78"/>
      <c r="E451" s="78"/>
      <c r="F451" s="78"/>
    </row>
    <row r="452" spans="2:6" ht="12.6" customHeight="1" x14ac:dyDescent="0.3">
      <c r="B452" s="78"/>
      <c r="C452" s="78"/>
      <c r="D452" s="78"/>
      <c r="E452" s="78"/>
      <c r="F452" s="78"/>
    </row>
    <row r="453" spans="2:6" ht="12.6" customHeight="1" x14ac:dyDescent="0.3">
      <c r="B453" s="78"/>
      <c r="C453" s="78"/>
      <c r="D453" s="78"/>
      <c r="E453" s="78"/>
      <c r="F453" s="78"/>
    </row>
    <row r="454" spans="2:6" ht="12.6" customHeight="1" x14ac:dyDescent="0.3">
      <c r="B454" s="78"/>
      <c r="C454" s="78"/>
      <c r="D454" s="78"/>
      <c r="E454" s="78"/>
      <c r="F454" s="78"/>
    </row>
    <row r="455" spans="2:6" ht="12.6" customHeight="1" x14ac:dyDescent="0.3">
      <c r="B455" s="78"/>
      <c r="C455" s="78"/>
      <c r="D455" s="78"/>
      <c r="E455" s="78"/>
      <c r="F455" s="78"/>
    </row>
    <row r="456" spans="2:6" ht="12.6" customHeight="1" x14ac:dyDescent="0.3">
      <c r="B456" s="78"/>
      <c r="C456" s="78"/>
      <c r="D456" s="78"/>
      <c r="E456" s="78"/>
      <c r="F456" s="78"/>
    </row>
    <row r="457" spans="2:6" ht="12.6" customHeight="1" x14ac:dyDescent="0.3">
      <c r="B457" s="78"/>
      <c r="C457" s="78"/>
      <c r="D457" s="78"/>
      <c r="E457" s="78"/>
      <c r="F457" s="78"/>
    </row>
    <row r="458" spans="2:6" ht="12.6" customHeight="1" x14ac:dyDescent="0.3">
      <c r="B458" s="78"/>
      <c r="C458" s="78"/>
      <c r="D458" s="78"/>
      <c r="E458" s="78"/>
      <c r="F458" s="78"/>
    </row>
    <row r="459" spans="2:6" ht="12.6" customHeight="1" x14ac:dyDescent="0.3">
      <c r="B459" s="78"/>
      <c r="C459" s="78"/>
      <c r="D459" s="78"/>
      <c r="E459" s="78"/>
      <c r="F459" s="78"/>
    </row>
    <row r="460" spans="2:6" ht="12.6" customHeight="1" x14ac:dyDescent="0.3">
      <c r="B460" s="78"/>
      <c r="C460" s="78"/>
      <c r="D460" s="78"/>
      <c r="E460" s="78"/>
      <c r="F460" s="78"/>
    </row>
    <row r="461" spans="2:6" ht="12.6" customHeight="1" x14ac:dyDescent="0.3">
      <c r="B461" s="78"/>
      <c r="C461" s="78"/>
      <c r="D461" s="78"/>
      <c r="E461" s="78"/>
      <c r="F461" s="78"/>
    </row>
    <row r="462" spans="2:6" ht="12.6" customHeight="1" x14ac:dyDescent="0.3">
      <c r="B462" s="78"/>
      <c r="C462" s="78"/>
      <c r="D462" s="78"/>
      <c r="E462" s="78"/>
      <c r="F462" s="78"/>
    </row>
    <row r="463" spans="2:6" ht="12.6" customHeight="1" x14ac:dyDescent="0.3">
      <c r="B463" s="78"/>
      <c r="C463" s="78"/>
      <c r="D463" s="78"/>
      <c r="E463" s="78"/>
      <c r="F463" s="78"/>
    </row>
    <row r="464" spans="2:6" ht="12.6" customHeight="1" x14ac:dyDescent="0.3">
      <c r="B464" s="78"/>
      <c r="C464" s="78"/>
      <c r="D464" s="78"/>
      <c r="E464" s="78"/>
      <c r="F464" s="78"/>
    </row>
    <row r="465" spans="2:6" ht="12.6" customHeight="1" x14ac:dyDescent="0.3">
      <c r="B465" s="78"/>
      <c r="C465" s="78"/>
      <c r="D465" s="78"/>
      <c r="E465" s="78"/>
      <c r="F465" s="78"/>
    </row>
    <row r="466" spans="2:6" ht="12.6" customHeight="1" x14ac:dyDescent="0.3">
      <c r="B466" s="78"/>
      <c r="C466" s="78"/>
      <c r="D466" s="78"/>
      <c r="E466" s="78"/>
      <c r="F466" s="78"/>
    </row>
    <row r="467" spans="2:6" ht="12.6" customHeight="1" x14ac:dyDescent="0.3">
      <c r="B467" s="78"/>
      <c r="C467" s="78"/>
      <c r="D467" s="78"/>
      <c r="E467" s="78"/>
      <c r="F467" s="78"/>
    </row>
    <row r="468" spans="2:6" ht="12.6" customHeight="1" x14ac:dyDescent="0.3">
      <c r="B468" s="78"/>
      <c r="C468" s="78"/>
      <c r="D468" s="78"/>
      <c r="E468" s="78"/>
      <c r="F468" s="78"/>
    </row>
    <row r="469" spans="2:6" ht="12.6" customHeight="1" x14ac:dyDescent="0.3">
      <c r="B469" s="78"/>
      <c r="C469" s="78"/>
      <c r="D469" s="78"/>
      <c r="E469" s="78"/>
      <c r="F469" s="78"/>
    </row>
    <row r="470" spans="2:6" ht="12.6" customHeight="1" x14ac:dyDescent="0.3">
      <c r="B470" s="78"/>
      <c r="C470" s="78"/>
      <c r="D470" s="78"/>
      <c r="E470" s="78"/>
      <c r="F470" s="78"/>
    </row>
    <row r="471" spans="2:6" ht="12.6" customHeight="1" x14ac:dyDescent="0.3">
      <c r="B471" s="78"/>
      <c r="C471" s="78"/>
      <c r="D471" s="78"/>
      <c r="E471" s="78"/>
      <c r="F471" s="78"/>
    </row>
    <row r="472" spans="2:6" ht="12.6" customHeight="1" x14ac:dyDescent="0.3">
      <c r="B472" s="78"/>
      <c r="C472" s="78"/>
      <c r="D472" s="78"/>
      <c r="E472" s="78"/>
      <c r="F472" s="78"/>
    </row>
    <row r="473" spans="2:6" ht="12.6" customHeight="1" x14ac:dyDescent="0.3">
      <c r="B473" s="78"/>
      <c r="C473" s="78"/>
      <c r="D473" s="78"/>
      <c r="E473" s="78"/>
      <c r="F473" s="78"/>
    </row>
    <row r="474" spans="2:6" ht="12.6" customHeight="1" x14ac:dyDescent="0.3">
      <c r="B474" s="78"/>
      <c r="C474" s="78"/>
      <c r="D474" s="78"/>
      <c r="E474" s="78"/>
      <c r="F474" s="78"/>
    </row>
    <row r="475" spans="2:6" ht="12.6" customHeight="1" x14ac:dyDescent="0.3">
      <c r="B475" s="78"/>
      <c r="C475" s="78"/>
      <c r="D475" s="78"/>
      <c r="E475" s="78"/>
      <c r="F475" s="78"/>
    </row>
    <row r="476" spans="2:6" ht="12.6" customHeight="1" x14ac:dyDescent="0.3">
      <c r="B476" s="78"/>
      <c r="C476" s="78"/>
      <c r="D476" s="78"/>
      <c r="E476" s="78"/>
      <c r="F476" s="78"/>
    </row>
    <row r="477" spans="2:6" ht="12.6" customHeight="1" x14ac:dyDescent="0.3">
      <c r="B477" s="78"/>
      <c r="C477" s="78"/>
      <c r="D477" s="78"/>
      <c r="E477" s="78"/>
      <c r="F477" s="78"/>
    </row>
    <row r="478" spans="2:6" ht="12.6" customHeight="1" x14ac:dyDescent="0.3">
      <c r="B478" s="78"/>
      <c r="C478" s="78"/>
      <c r="D478" s="78"/>
      <c r="E478" s="78"/>
      <c r="F478" s="78"/>
    </row>
    <row r="479" spans="2:6" ht="12.6" customHeight="1" x14ac:dyDescent="0.3">
      <c r="B479" s="78"/>
      <c r="C479" s="78"/>
      <c r="D479" s="78"/>
      <c r="E479" s="78"/>
      <c r="F479" s="78"/>
    </row>
    <row r="480" spans="2:6" ht="12.6" customHeight="1" x14ac:dyDescent="0.3">
      <c r="B480" s="78"/>
      <c r="C480" s="78"/>
      <c r="D480" s="78"/>
      <c r="E480" s="78"/>
      <c r="F480" s="78"/>
    </row>
    <row r="481" spans="2:6" ht="12.6" customHeight="1" x14ac:dyDescent="0.3">
      <c r="B481" s="78"/>
      <c r="C481" s="78"/>
      <c r="D481" s="78"/>
      <c r="E481" s="78"/>
      <c r="F481" s="78"/>
    </row>
    <row r="482" spans="2:6" ht="12.6" customHeight="1" x14ac:dyDescent="0.3">
      <c r="B482" s="78"/>
      <c r="C482" s="78"/>
      <c r="D482" s="78"/>
      <c r="E482" s="78"/>
      <c r="F482" s="78"/>
    </row>
    <row r="483" spans="2:6" ht="12.6" customHeight="1" x14ac:dyDescent="0.3">
      <c r="B483" s="78"/>
      <c r="C483" s="78"/>
      <c r="D483" s="78"/>
      <c r="E483" s="78"/>
      <c r="F483" s="78"/>
    </row>
    <row r="484" spans="2:6" ht="12.6" customHeight="1" x14ac:dyDescent="0.3">
      <c r="B484" s="78"/>
      <c r="C484" s="78"/>
      <c r="D484" s="78"/>
      <c r="E484" s="78"/>
      <c r="F484" s="78"/>
    </row>
    <row r="485" spans="2:6" ht="12.6" customHeight="1" x14ac:dyDescent="0.3">
      <c r="B485" s="78"/>
      <c r="C485" s="78"/>
      <c r="D485" s="78"/>
      <c r="E485" s="78"/>
      <c r="F485" s="78"/>
    </row>
    <row r="486" spans="2:6" ht="12.6" customHeight="1" x14ac:dyDescent="0.3">
      <c r="B486" s="78"/>
      <c r="C486" s="78"/>
      <c r="D486" s="78"/>
      <c r="E486" s="78"/>
      <c r="F486" s="78"/>
    </row>
    <row r="487" spans="2:6" ht="12.6" customHeight="1" x14ac:dyDescent="0.3">
      <c r="B487" s="78"/>
      <c r="C487" s="78"/>
      <c r="D487" s="78"/>
      <c r="E487" s="78"/>
      <c r="F487" s="78"/>
    </row>
    <row r="488" spans="2:6" ht="12.6" customHeight="1" x14ac:dyDescent="0.3">
      <c r="B488" s="78"/>
      <c r="C488" s="78"/>
      <c r="D488" s="78"/>
      <c r="E488" s="78"/>
      <c r="F488" s="78"/>
    </row>
    <row r="489" spans="2:6" ht="12.6" customHeight="1" x14ac:dyDescent="0.3">
      <c r="B489" s="78"/>
      <c r="C489" s="78"/>
      <c r="D489" s="78"/>
      <c r="E489" s="78"/>
      <c r="F489" s="78"/>
    </row>
    <row r="490" spans="2:6" ht="12.6" customHeight="1" x14ac:dyDescent="0.3">
      <c r="B490" s="78"/>
      <c r="C490" s="78"/>
      <c r="D490" s="78"/>
      <c r="E490" s="78"/>
      <c r="F490" s="78"/>
    </row>
    <row r="491" spans="2:6" ht="12.6" customHeight="1" x14ac:dyDescent="0.3">
      <c r="B491" s="78"/>
      <c r="C491" s="78"/>
      <c r="D491" s="78"/>
      <c r="E491" s="78"/>
      <c r="F491" s="78"/>
    </row>
    <row r="492" spans="2:6" ht="12.6" customHeight="1" x14ac:dyDescent="0.3">
      <c r="B492" s="78"/>
      <c r="C492" s="78"/>
      <c r="D492" s="78"/>
      <c r="E492" s="78"/>
      <c r="F492" s="78"/>
    </row>
    <row r="493" spans="2:6" ht="12.6" customHeight="1" x14ac:dyDescent="0.3">
      <c r="B493" s="78"/>
      <c r="C493" s="78"/>
      <c r="D493" s="78"/>
      <c r="E493" s="78"/>
      <c r="F493" s="78"/>
    </row>
    <row r="494" spans="2:6" ht="12.6" customHeight="1" x14ac:dyDescent="0.3">
      <c r="B494" s="78"/>
      <c r="C494" s="78"/>
      <c r="D494" s="78"/>
      <c r="E494" s="78"/>
      <c r="F494" s="78"/>
    </row>
    <row r="495" spans="2:6" ht="12.6" customHeight="1" x14ac:dyDescent="0.3">
      <c r="B495" s="78"/>
      <c r="C495" s="78"/>
      <c r="D495" s="78"/>
      <c r="E495" s="78"/>
      <c r="F495" s="78"/>
    </row>
    <row r="496" spans="2:6" ht="12.6" customHeight="1" x14ac:dyDescent="0.3">
      <c r="B496" s="78"/>
      <c r="C496" s="78"/>
      <c r="D496" s="78"/>
      <c r="E496" s="78"/>
      <c r="F496" s="78"/>
    </row>
    <row r="497" spans="2:6" ht="12.6" customHeight="1" x14ac:dyDescent="0.3">
      <c r="B497" s="78"/>
      <c r="C497" s="78"/>
      <c r="D497" s="78"/>
      <c r="E497" s="78"/>
      <c r="F497" s="78"/>
    </row>
    <row r="498" spans="2:6" ht="12.6" customHeight="1" x14ac:dyDescent="0.3">
      <c r="B498" s="78"/>
      <c r="C498" s="78"/>
      <c r="D498" s="78"/>
      <c r="E498" s="78"/>
      <c r="F498" s="78"/>
    </row>
    <row r="499" spans="2:6" ht="12.6" customHeight="1" x14ac:dyDescent="0.3">
      <c r="B499" s="78"/>
      <c r="C499" s="78"/>
      <c r="D499" s="78"/>
      <c r="E499" s="78"/>
      <c r="F499" s="78"/>
    </row>
    <row r="500" spans="2:6" ht="12.6" customHeight="1" x14ac:dyDescent="0.3">
      <c r="B500" s="78"/>
      <c r="C500" s="78"/>
      <c r="D500" s="78"/>
      <c r="E500" s="78"/>
      <c r="F500" s="78"/>
    </row>
    <row r="501" spans="2:6" ht="12.6" customHeight="1" x14ac:dyDescent="0.3">
      <c r="B501" s="78"/>
      <c r="C501" s="78"/>
      <c r="D501" s="78"/>
      <c r="E501" s="78"/>
      <c r="F501" s="78"/>
    </row>
    <row r="502" spans="2:6" ht="12.6" customHeight="1" x14ac:dyDescent="0.3">
      <c r="B502" s="78"/>
      <c r="C502" s="78"/>
      <c r="D502" s="78"/>
      <c r="E502" s="78"/>
      <c r="F502" s="78"/>
    </row>
    <row r="503" spans="2:6" ht="12.6" customHeight="1" x14ac:dyDescent="0.3">
      <c r="B503" s="78"/>
      <c r="C503" s="78"/>
      <c r="D503" s="78"/>
      <c r="E503" s="78"/>
      <c r="F503" s="78"/>
    </row>
    <row r="504" spans="2:6" ht="12.6" customHeight="1" x14ac:dyDescent="0.3">
      <c r="B504" s="78"/>
      <c r="C504" s="78"/>
      <c r="D504" s="78"/>
      <c r="E504" s="78"/>
      <c r="F504" s="78"/>
    </row>
    <row r="505" spans="2:6" ht="12.6" customHeight="1" x14ac:dyDescent="0.3">
      <c r="B505" s="78"/>
      <c r="C505" s="78"/>
      <c r="D505" s="78"/>
      <c r="E505" s="78"/>
      <c r="F505" s="78"/>
    </row>
    <row r="506" spans="2:6" ht="12.6" customHeight="1" x14ac:dyDescent="0.3">
      <c r="B506" s="78"/>
      <c r="C506" s="78"/>
      <c r="D506" s="78"/>
      <c r="E506" s="78"/>
      <c r="F506" s="78"/>
    </row>
    <row r="507" spans="2:6" ht="12.6" customHeight="1" x14ac:dyDescent="0.3">
      <c r="B507" s="78"/>
      <c r="C507" s="78"/>
      <c r="D507" s="78"/>
      <c r="E507" s="78"/>
      <c r="F507" s="78"/>
    </row>
    <row r="508" spans="2:6" ht="12.6" customHeight="1" x14ac:dyDescent="0.3">
      <c r="B508" s="78"/>
      <c r="C508" s="78"/>
      <c r="D508" s="78"/>
      <c r="E508" s="78"/>
      <c r="F508" s="78"/>
    </row>
    <row r="509" spans="2:6" ht="12.6" customHeight="1" x14ac:dyDescent="0.3">
      <c r="B509" s="78"/>
      <c r="C509" s="78"/>
      <c r="D509" s="78"/>
      <c r="E509" s="78"/>
      <c r="F509" s="78"/>
    </row>
    <row r="510" spans="2:6" ht="12.6" customHeight="1" x14ac:dyDescent="0.3">
      <c r="B510" s="78"/>
      <c r="C510" s="78"/>
      <c r="D510" s="78"/>
      <c r="E510" s="78"/>
      <c r="F510" s="78"/>
    </row>
    <row r="511" spans="2:6" ht="12.6" customHeight="1" x14ac:dyDescent="0.3">
      <c r="B511" s="78"/>
      <c r="C511" s="78"/>
      <c r="D511" s="78"/>
      <c r="E511" s="78"/>
      <c r="F511" s="78"/>
    </row>
    <row r="512" spans="2:6" ht="12.6" customHeight="1" x14ac:dyDescent="0.3">
      <c r="B512" s="78"/>
      <c r="C512" s="78"/>
      <c r="D512" s="78"/>
      <c r="E512" s="78"/>
      <c r="F512" s="78"/>
    </row>
    <row r="513" spans="2:6" ht="12.6" customHeight="1" x14ac:dyDescent="0.3">
      <c r="B513" s="78"/>
      <c r="C513" s="78"/>
      <c r="D513" s="78"/>
      <c r="E513" s="78"/>
      <c r="F513" s="78"/>
    </row>
    <row r="514" spans="2:6" ht="12.6" customHeight="1" x14ac:dyDescent="0.3">
      <c r="B514" s="78"/>
      <c r="C514" s="78"/>
      <c r="D514" s="78"/>
      <c r="E514" s="78"/>
      <c r="F514" s="78"/>
    </row>
    <row r="515" spans="2:6" ht="12.6" customHeight="1" x14ac:dyDescent="0.3">
      <c r="B515" s="78"/>
      <c r="C515" s="78"/>
      <c r="D515" s="78"/>
      <c r="E515" s="78"/>
      <c r="F515" s="78"/>
    </row>
    <row r="516" spans="2:6" ht="12.6" customHeight="1" x14ac:dyDescent="0.3">
      <c r="B516" s="78"/>
      <c r="C516" s="78"/>
      <c r="D516" s="78"/>
      <c r="E516" s="78"/>
      <c r="F516" s="78"/>
    </row>
    <row r="517" spans="2:6" ht="12.6" customHeight="1" x14ac:dyDescent="0.3">
      <c r="B517" s="78"/>
      <c r="C517" s="78"/>
      <c r="D517" s="78"/>
      <c r="E517" s="78"/>
      <c r="F517" s="78"/>
    </row>
    <row r="518" spans="2:6" ht="12.6" customHeight="1" x14ac:dyDescent="0.3">
      <c r="B518" s="78"/>
      <c r="C518" s="78"/>
      <c r="D518" s="78"/>
      <c r="E518" s="78"/>
      <c r="F518" s="78"/>
    </row>
    <row r="519" spans="2:6" ht="12.6" customHeight="1" x14ac:dyDescent="0.3">
      <c r="B519" s="78"/>
      <c r="C519" s="78"/>
      <c r="D519" s="78"/>
      <c r="E519" s="78"/>
      <c r="F519" s="78"/>
    </row>
    <row r="520" spans="2:6" ht="12.6" customHeight="1" x14ac:dyDescent="0.3">
      <c r="B520" s="78"/>
      <c r="C520" s="78"/>
      <c r="D520" s="78"/>
      <c r="E520" s="78"/>
      <c r="F520" s="78"/>
    </row>
    <row r="521" spans="2:6" ht="12.6" customHeight="1" x14ac:dyDescent="0.3">
      <c r="B521" s="78"/>
      <c r="C521" s="78"/>
      <c r="D521" s="78"/>
      <c r="E521" s="78"/>
      <c r="F521" s="78"/>
    </row>
    <row r="522" spans="2:6" ht="12.6" customHeight="1" x14ac:dyDescent="0.3">
      <c r="B522" s="78"/>
      <c r="C522" s="78"/>
      <c r="D522" s="78"/>
      <c r="E522" s="78"/>
      <c r="F522" s="78"/>
    </row>
    <row r="523" spans="2:6" ht="12.6" customHeight="1" x14ac:dyDescent="0.3">
      <c r="B523" s="78"/>
      <c r="C523" s="78"/>
      <c r="D523" s="78"/>
      <c r="E523" s="78"/>
      <c r="F523" s="78"/>
    </row>
    <row r="524" spans="2:6" ht="12.6" customHeight="1" x14ac:dyDescent="0.3">
      <c r="B524" s="78"/>
      <c r="C524" s="78"/>
      <c r="D524" s="78"/>
      <c r="E524" s="78"/>
      <c r="F524" s="78"/>
    </row>
    <row r="525" spans="2:6" ht="12.6" customHeight="1" x14ac:dyDescent="0.3">
      <c r="B525" s="78"/>
      <c r="C525" s="78"/>
      <c r="D525" s="78"/>
      <c r="E525" s="78"/>
      <c r="F525" s="78"/>
    </row>
    <row r="526" spans="2:6" ht="12.6" customHeight="1" x14ac:dyDescent="0.3">
      <c r="B526" s="78"/>
      <c r="C526" s="78"/>
      <c r="D526" s="78"/>
      <c r="E526" s="78"/>
      <c r="F526" s="78"/>
    </row>
    <row r="527" spans="2:6" ht="12.6" customHeight="1" x14ac:dyDescent="0.3">
      <c r="B527" s="78"/>
      <c r="C527" s="78"/>
      <c r="D527" s="78"/>
      <c r="E527" s="78"/>
      <c r="F527" s="78"/>
    </row>
    <row r="528" spans="2:6" ht="12.6" customHeight="1" x14ac:dyDescent="0.3">
      <c r="B528" s="78"/>
      <c r="C528" s="78"/>
      <c r="D528" s="78"/>
      <c r="E528" s="78"/>
      <c r="F528" s="78"/>
    </row>
    <row r="529" spans="2:6" ht="12.6" customHeight="1" x14ac:dyDescent="0.3">
      <c r="B529" s="78"/>
      <c r="C529" s="78"/>
      <c r="D529" s="78"/>
      <c r="E529" s="78"/>
      <c r="F529" s="78"/>
    </row>
    <row r="530" spans="2:6" ht="12.6" customHeight="1" x14ac:dyDescent="0.3">
      <c r="B530" s="78"/>
      <c r="C530" s="78"/>
      <c r="D530" s="78"/>
      <c r="E530" s="78"/>
      <c r="F530" s="78"/>
    </row>
    <row r="531" spans="2:6" ht="12.6" customHeight="1" x14ac:dyDescent="0.3">
      <c r="B531" s="78"/>
      <c r="C531" s="78"/>
      <c r="D531" s="78"/>
      <c r="E531" s="78"/>
      <c r="F531" s="78"/>
    </row>
    <row r="532" spans="2:6" ht="12.6" customHeight="1" x14ac:dyDescent="0.3">
      <c r="B532" s="78"/>
      <c r="C532" s="78"/>
      <c r="D532" s="78"/>
      <c r="E532" s="78"/>
      <c r="F532" s="78"/>
    </row>
    <row r="533" spans="2:6" ht="12.6" customHeight="1" x14ac:dyDescent="0.3">
      <c r="B533" s="78"/>
      <c r="C533" s="78"/>
      <c r="D533" s="78"/>
      <c r="E533" s="78"/>
      <c r="F533" s="78"/>
    </row>
    <row r="534" spans="2:6" ht="12.6" customHeight="1" x14ac:dyDescent="0.3">
      <c r="B534" s="78"/>
      <c r="C534" s="78"/>
      <c r="D534" s="78"/>
      <c r="E534" s="78"/>
      <c r="F534" s="78"/>
    </row>
    <row r="535" spans="2:6" ht="12.6" customHeight="1" x14ac:dyDescent="0.3">
      <c r="B535" s="78"/>
      <c r="C535" s="78"/>
      <c r="D535" s="78"/>
      <c r="E535" s="78"/>
      <c r="F535" s="78"/>
    </row>
    <row r="536" spans="2:6" ht="12.6" customHeight="1" x14ac:dyDescent="0.3">
      <c r="B536" s="78"/>
      <c r="C536" s="78"/>
      <c r="D536" s="78"/>
      <c r="E536" s="78"/>
      <c r="F536" s="78"/>
    </row>
    <row r="537" spans="2:6" ht="12.6" customHeight="1" x14ac:dyDescent="0.3">
      <c r="B537" s="78"/>
      <c r="C537" s="78"/>
      <c r="D537" s="78"/>
      <c r="E537" s="78"/>
      <c r="F537" s="78"/>
    </row>
    <row r="538" spans="2:6" ht="12.6" customHeight="1" x14ac:dyDescent="0.3">
      <c r="B538" s="78"/>
      <c r="C538" s="78"/>
      <c r="D538" s="78"/>
      <c r="E538" s="78"/>
      <c r="F538" s="78"/>
    </row>
    <row r="539" spans="2:6" ht="12.6" customHeight="1" x14ac:dyDescent="0.3">
      <c r="B539" s="78"/>
      <c r="C539" s="78"/>
      <c r="D539" s="78"/>
      <c r="E539" s="78"/>
      <c r="F539" s="78"/>
    </row>
    <row r="540" spans="2:6" ht="12.6" customHeight="1" x14ac:dyDescent="0.3">
      <c r="B540" s="78"/>
      <c r="C540" s="78"/>
      <c r="D540" s="78"/>
      <c r="E540" s="78"/>
      <c r="F540" s="78"/>
    </row>
    <row r="541" spans="2:6" ht="12.6" customHeight="1" x14ac:dyDescent="0.3">
      <c r="B541" s="78"/>
      <c r="C541" s="78"/>
      <c r="D541" s="78"/>
      <c r="E541" s="78"/>
      <c r="F541" s="78"/>
    </row>
    <row r="542" spans="2:6" ht="12.6" customHeight="1" x14ac:dyDescent="0.3">
      <c r="B542" s="78"/>
      <c r="C542" s="78"/>
      <c r="D542" s="78"/>
      <c r="E542" s="78"/>
      <c r="F542" s="78"/>
    </row>
    <row r="543" spans="2:6" ht="12.6" customHeight="1" x14ac:dyDescent="0.3">
      <c r="B543" s="78"/>
      <c r="C543" s="78"/>
      <c r="D543" s="78"/>
      <c r="E543" s="78"/>
      <c r="F543" s="78"/>
    </row>
    <row r="544" spans="2:6" ht="12.6" customHeight="1" x14ac:dyDescent="0.3">
      <c r="B544" s="78"/>
      <c r="C544" s="78"/>
      <c r="D544" s="78"/>
      <c r="E544" s="78"/>
      <c r="F544" s="78"/>
    </row>
    <row r="545" spans="2:6" ht="12.6" customHeight="1" x14ac:dyDescent="0.3">
      <c r="B545" s="78"/>
      <c r="C545" s="78"/>
      <c r="D545" s="78"/>
      <c r="E545" s="78"/>
      <c r="F545" s="78"/>
    </row>
    <row r="546" spans="2:6" ht="12.6" customHeight="1" x14ac:dyDescent="0.3">
      <c r="B546" s="78"/>
      <c r="C546" s="78"/>
      <c r="D546" s="78"/>
      <c r="E546" s="78"/>
      <c r="F546" s="78"/>
    </row>
    <row r="547" spans="2:6" ht="12.6" customHeight="1" x14ac:dyDescent="0.3">
      <c r="B547" s="78"/>
      <c r="C547" s="78"/>
      <c r="D547" s="78"/>
      <c r="E547" s="78"/>
      <c r="F547" s="78"/>
    </row>
    <row r="548" spans="2:6" ht="12.6" customHeight="1" x14ac:dyDescent="0.3">
      <c r="B548" s="78"/>
      <c r="C548" s="78"/>
      <c r="D548" s="78"/>
      <c r="E548" s="78"/>
      <c r="F548" s="78"/>
    </row>
    <row r="549" spans="2:6" ht="12.6" customHeight="1" x14ac:dyDescent="0.3">
      <c r="B549" s="78"/>
      <c r="C549" s="78"/>
      <c r="D549" s="78"/>
      <c r="E549" s="78"/>
      <c r="F549" s="78"/>
    </row>
    <row r="550" spans="2:6" ht="12.6" customHeight="1" x14ac:dyDescent="0.3">
      <c r="B550" s="78"/>
      <c r="C550" s="78"/>
      <c r="D550" s="78"/>
      <c r="E550" s="78"/>
      <c r="F550" s="78"/>
    </row>
    <row r="551" spans="2:6" ht="12.6" customHeight="1" x14ac:dyDescent="0.3">
      <c r="B551" s="78"/>
      <c r="C551" s="78"/>
      <c r="D551" s="78"/>
      <c r="E551" s="78"/>
      <c r="F551" s="78"/>
    </row>
    <row r="552" spans="2:6" ht="12.6" customHeight="1" x14ac:dyDescent="0.3">
      <c r="B552" s="78"/>
      <c r="C552" s="78"/>
      <c r="D552" s="78"/>
      <c r="E552" s="78"/>
      <c r="F552" s="78"/>
    </row>
    <row r="553" spans="2:6" ht="12.6" customHeight="1" x14ac:dyDescent="0.3">
      <c r="B553" s="78"/>
      <c r="C553" s="78"/>
      <c r="D553" s="78"/>
      <c r="E553" s="78"/>
      <c r="F553" s="78"/>
    </row>
    <row r="554" spans="2:6" ht="12.6" customHeight="1" x14ac:dyDescent="0.3">
      <c r="B554" s="78"/>
      <c r="C554" s="78"/>
      <c r="D554" s="78"/>
      <c r="E554" s="78"/>
      <c r="F554" s="78"/>
    </row>
    <row r="555" spans="2:6" ht="12.6" customHeight="1" x14ac:dyDescent="0.3">
      <c r="B555" s="78"/>
      <c r="C555" s="78"/>
      <c r="D555" s="78"/>
      <c r="E555" s="78"/>
      <c r="F555" s="78"/>
    </row>
    <row r="556" spans="2:6" ht="12.6" customHeight="1" x14ac:dyDescent="0.3">
      <c r="B556" s="78"/>
      <c r="C556" s="78"/>
      <c r="D556" s="78"/>
      <c r="E556" s="78"/>
      <c r="F556" s="78"/>
    </row>
    <row r="557" spans="2:6" ht="12.6" customHeight="1" x14ac:dyDescent="0.3">
      <c r="B557" s="78"/>
      <c r="C557" s="78"/>
      <c r="D557" s="78"/>
      <c r="E557" s="78"/>
      <c r="F557" s="78"/>
    </row>
    <row r="558" spans="2:6" ht="12.6" customHeight="1" x14ac:dyDescent="0.3">
      <c r="B558" s="78"/>
      <c r="C558" s="78"/>
      <c r="D558" s="78"/>
      <c r="E558" s="78"/>
      <c r="F558" s="78"/>
    </row>
    <row r="559" spans="2:6" ht="12.6" customHeight="1" x14ac:dyDescent="0.3">
      <c r="B559" s="78"/>
      <c r="C559" s="78"/>
      <c r="D559" s="78"/>
      <c r="E559" s="78"/>
      <c r="F559" s="78"/>
    </row>
    <row r="560" spans="2:6" ht="12.6" customHeight="1" x14ac:dyDescent="0.3">
      <c r="B560" s="78"/>
      <c r="C560" s="78"/>
      <c r="D560" s="78"/>
      <c r="E560" s="78"/>
      <c r="F560" s="78"/>
    </row>
    <row r="561" spans="2:6" ht="12.6" customHeight="1" x14ac:dyDescent="0.3">
      <c r="B561" s="78"/>
      <c r="C561" s="78"/>
      <c r="D561" s="78"/>
      <c r="E561" s="78"/>
      <c r="F561" s="78"/>
    </row>
    <row r="562" spans="2:6" ht="12.6" customHeight="1" x14ac:dyDescent="0.3">
      <c r="B562" s="78"/>
      <c r="C562" s="78"/>
      <c r="D562" s="78"/>
      <c r="E562" s="78"/>
      <c r="F562" s="78"/>
    </row>
    <row r="563" spans="2:6" ht="12.6" customHeight="1" x14ac:dyDescent="0.3">
      <c r="B563" s="78"/>
      <c r="C563" s="78"/>
      <c r="D563" s="78"/>
      <c r="E563" s="78"/>
      <c r="F563" s="78"/>
    </row>
    <row r="564" spans="2:6" ht="12.6" customHeight="1" x14ac:dyDescent="0.3">
      <c r="B564" s="78"/>
      <c r="C564" s="78"/>
      <c r="D564" s="78"/>
      <c r="E564" s="78"/>
      <c r="F564" s="78"/>
    </row>
    <row r="565" spans="2:6" ht="12.6" customHeight="1" x14ac:dyDescent="0.3">
      <c r="B565" s="78"/>
      <c r="C565" s="78"/>
      <c r="D565" s="78"/>
      <c r="E565" s="78"/>
      <c r="F565" s="78"/>
    </row>
    <row r="566" spans="2:6" ht="12.6" customHeight="1" x14ac:dyDescent="0.3">
      <c r="B566" s="78"/>
      <c r="C566" s="78"/>
      <c r="D566" s="78"/>
      <c r="E566" s="78"/>
      <c r="F566" s="78"/>
    </row>
    <row r="567" spans="2:6" ht="12.6" customHeight="1" x14ac:dyDescent="0.3">
      <c r="B567" s="78"/>
      <c r="C567" s="78"/>
      <c r="D567" s="78"/>
      <c r="E567" s="78"/>
      <c r="F567" s="78"/>
    </row>
    <row r="568" spans="2:6" ht="12.6" customHeight="1" x14ac:dyDescent="0.3">
      <c r="B568" s="78"/>
      <c r="C568" s="78"/>
      <c r="D568" s="78"/>
      <c r="E568" s="78"/>
      <c r="F568" s="78"/>
    </row>
    <row r="569" spans="2:6" ht="12.6" customHeight="1" x14ac:dyDescent="0.3">
      <c r="B569" s="78"/>
      <c r="C569" s="78"/>
      <c r="D569" s="78"/>
      <c r="E569" s="78"/>
      <c r="F569" s="78"/>
    </row>
    <row r="570" spans="2:6" ht="12.6" customHeight="1" x14ac:dyDescent="0.3">
      <c r="B570" s="78"/>
      <c r="C570" s="78"/>
      <c r="D570" s="78"/>
      <c r="E570" s="78"/>
      <c r="F570" s="78"/>
    </row>
    <row r="571" spans="2:6" ht="12.6" customHeight="1" x14ac:dyDescent="0.3">
      <c r="B571" s="78"/>
      <c r="C571" s="78"/>
      <c r="D571" s="78"/>
      <c r="E571" s="78"/>
      <c r="F571" s="78"/>
    </row>
    <row r="572" spans="2:6" ht="12.6" customHeight="1" x14ac:dyDescent="0.3">
      <c r="B572" s="78"/>
      <c r="C572" s="78"/>
      <c r="D572" s="78"/>
      <c r="E572" s="78"/>
      <c r="F572" s="78"/>
    </row>
    <row r="573" spans="2:6" ht="12.6" customHeight="1" x14ac:dyDescent="0.3">
      <c r="B573" s="78"/>
      <c r="C573" s="78"/>
      <c r="D573" s="78"/>
      <c r="E573" s="78"/>
      <c r="F573" s="78"/>
    </row>
    <row r="574" spans="2:6" ht="12.6" customHeight="1" x14ac:dyDescent="0.3">
      <c r="B574" s="78"/>
      <c r="C574" s="78"/>
      <c r="D574" s="78"/>
      <c r="E574" s="78"/>
      <c r="F574" s="78"/>
    </row>
    <row r="575" spans="2:6" ht="12.6" customHeight="1" x14ac:dyDescent="0.3">
      <c r="B575" s="78"/>
      <c r="C575" s="78"/>
      <c r="D575" s="78"/>
      <c r="E575" s="78"/>
      <c r="F575" s="78"/>
    </row>
    <row r="576" spans="2:6" ht="12.6" customHeight="1" x14ac:dyDescent="0.3">
      <c r="B576" s="78"/>
      <c r="C576" s="78"/>
      <c r="D576" s="78"/>
      <c r="E576" s="78"/>
      <c r="F576" s="78"/>
    </row>
    <row r="577" spans="2:6" ht="12.6" customHeight="1" x14ac:dyDescent="0.3">
      <c r="B577" s="78"/>
      <c r="C577" s="78"/>
      <c r="D577" s="78"/>
      <c r="E577" s="78"/>
      <c r="F577" s="78"/>
    </row>
    <row r="578" spans="2:6" ht="12.6" customHeight="1" x14ac:dyDescent="0.3">
      <c r="B578" s="78"/>
      <c r="C578" s="78"/>
      <c r="D578" s="78"/>
      <c r="E578" s="78"/>
      <c r="F578" s="78"/>
    </row>
    <row r="579" spans="2:6" ht="12.6" customHeight="1" x14ac:dyDescent="0.3">
      <c r="B579" s="78"/>
      <c r="C579" s="78"/>
      <c r="D579" s="78"/>
      <c r="E579" s="78"/>
      <c r="F579" s="78"/>
    </row>
    <row r="580" spans="2:6" ht="12.6" customHeight="1" x14ac:dyDescent="0.3">
      <c r="B580" s="78"/>
      <c r="C580" s="78"/>
      <c r="D580" s="78"/>
      <c r="E580" s="78"/>
      <c r="F580" s="78"/>
    </row>
    <row r="581" spans="2:6" ht="12.6" customHeight="1" x14ac:dyDescent="0.3">
      <c r="B581" s="78"/>
      <c r="C581" s="78"/>
      <c r="D581" s="78"/>
      <c r="E581" s="78"/>
      <c r="F581" s="78"/>
    </row>
    <row r="582" spans="2:6" ht="12.6" customHeight="1" x14ac:dyDescent="0.3">
      <c r="B582" s="78"/>
      <c r="C582" s="78"/>
      <c r="D582" s="78"/>
      <c r="E582" s="78"/>
      <c r="F582" s="78"/>
    </row>
    <row r="583" spans="2:6" ht="12.6" customHeight="1" x14ac:dyDescent="0.3">
      <c r="B583" s="78"/>
      <c r="C583" s="78"/>
      <c r="D583" s="78"/>
      <c r="E583" s="78"/>
      <c r="F583" s="78"/>
    </row>
    <row r="584" spans="2:6" ht="12.6" customHeight="1" x14ac:dyDescent="0.3">
      <c r="B584" s="78"/>
      <c r="C584" s="78"/>
      <c r="D584" s="78"/>
      <c r="E584" s="78"/>
      <c r="F584" s="78"/>
    </row>
    <row r="585" spans="2:6" ht="12.6" customHeight="1" x14ac:dyDescent="0.3">
      <c r="B585" s="78"/>
      <c r="C585" s="78"/>
      <c r="D585" s="78"/>
      <c r="E585" s="78"/>
      <c r="F585" s="78"/>
    </row>
    <row r="586" spans="2:6" ht="12.6" customHeight="1" x14ac:dyDescent="0.3">
      <c r="B586" s="78"/>
      <c r="C586" s="78"/>
      <c r="D586" s="78"/>
      <c r="E586" s="78"/>
      <c r="F586" s="78"/>
    </row>
    <row r="587" spans="2:6" ht="12.6" customHeight="1" x14ac:dyDescent="0.3">
      <c r="B587" s="78"/>
      <c r="C587" s="78"/>
      <c r="D587" s="78"/>
      <c r="E587" s="78"/>
      <c r="F587" s="78"/>
    </row>
    <row r="588" spans="2:6" ht="12.6" customHeight="1" x14ac:dyDescent="0.3">
      <c r="B588" s="78"/>
      <c r="C588" s="78"/>
      <c r="D588" s="78"/>
      <c r="E588" s="78"/>
      <c r="F588" s="78"/>
    </row>
    <row r="589" spans="2:6" ht="12.6" customHeight="1" x14ac:dyDescent="0.3">
      <c r="B589" s="78"/>
      <c r="C589" s="78"/>
      <c r="D589" s="78"/>
      <c r="E589" s="78"/>
      <c r="F589" s="78"/>
    </row>
    <row r="590" spans="2:6" ht="12.6" customHeight="1" x14ac:dyDescent="0.3">
      <c r="B590" s="78"/>
      <c r="C590" s="78"/>
      <c r="D590" s="78"/>
      <c r="E590" s="78"/>
      <c r="F590" s="78"/>
    </row>
    <row r="591" spans="2:6" ht="12.6" customHeight="1" x14ac:dyDescent="0.3">
      <c r="B591" s="78"/>
      <c r="C591" s="78"/>
      <c r="D591" s="78"/>
      <c r="E591" s="78"/>
      <c r="F591" s="78"/>
    </row>
    <row r="592" spans="2:6" ht="12.6" customHeight="1" x14ac:dyDescent="0.3">
      <c r="B592" s="78"/>
      <c r="C592" s="78"/>
      <c r="D592" s="78"/>
      <c r="E592" s="78"/>
      <c r="F592" s="78"/>
    </row>
    <row r="593" spans="2:6" ht="12.6" customHeight="1" x14ac:dyDescent="0.3">
      <c r="B593" s="78"/>
      <c r="C593" s="78"/>
      <c r="D593" s="78"/>
      <c r="E593" s="78"/>
      <c r="F593" s="78"/>
    </row>
    <row r="594" spans="2:6" ht="12.6" customHeight="1" x14ac:dyDescent="0.3">
      <c r="B594" s="78"/>
      <c r="C594" s="78"/>
      <c r="D594" s="78"/>
      <c r="E594" s="78"/>
      <c r="F594" s="78"/>
    </row>
    <row r="595" spans="2:6" ht="12.6" customHeight="1" x14ac:dyDescent="0.3">
      <c r="B595" s="78"/>
      <c r="C595" s="78"/>
      <c r="D595" s="78"/>
      <c r="E595" s="78"/>
      <c r="F595" s="78"/>
    </row>
    <row r="596" spans="2:6" ht="12.6" customHeight="1" x14ac:dyDescent="0.3">
      <c r="B596" s="78"/>
      <c r="C596" s="78"/>
      <c r="D596" s="78"/>
      <c r="E596" s="78"/>
      <c r="F596" s="78"/>
    </row>
    <row r="597" spans="2:6" ht="12.6" customHeight="1" x14ac:dyDescent="0.3">
      <c r="B597" s="78"/>
      <c r="C597" s="78"/>
      <c r="D597" s="78"/>
      <c r="E597" s="78"/>
      <c r="F597" s="78"/>
    </row>
    <row r="598" spans="2:6" ht="12.6" customHeight="1" x14ac:dyDescent="0.3">
      <c r="B598" s="78"/>
      <c r="C598" s="78"/>
      <c r="D598" s="78"/>
      <c r="E598" s="78"/>
      <c r="F598" s="78"/>
    </row>
    <row r="599" spans="2:6" ht="12.6" customHeight="1" x14ac:dyDescent="0.3">
      <c r="B599" s="78"/>
      <c r="C599" s="78"/>
      <c r="D599" s="78"/>
      <c r="E599" s="78"/>
      <c r="F599" s="78"/>
    </row>
    <row r="600" spans="2:6" ht="12.6" customHeight="1" x14ac:dyDescent="0.3">
      <c r="B600" s="78"/>
      <c r="C600" s="78"/>
      <c r="D600" s="78"/>
      <c r="E600" s="78"/>
      <c r="F600" s="78"/>
    </row>
    <row r="601" spans="2:6" ht="12.6" customHeight="1" x14ac:dyDescent="0.3">
      <c r="B601" s="78"/>
      <c r="C601" s="78"/>
      <c r="D601" s="78"/>
      <c r="E601" s="78"/>
      <c r="F601" s="78"/>
    </row>
    <row r="602" spans="2:6" ht="12.6" customHeight="1" x14ac:dyDescent="0.3">
      <c r="B602" s="78"/>
      <c r="C602" s="78"/>
      <c r="D602" s="78"/>
      <c r="E602" s="78"/>
      <c r="F602" s="78"/>
    </row>
    <row r="603" spans="2:6" ht="12.6" customHeight="1" x14ac:dyDescent="0.3">
      <c r="B603" s="78"/>
      <c r="C603" s="78"/>
      <c r="D603" s="78"/>
      <c r="E603" s="78"/>
      <c r="F603" s="78"/>
    </row>
    <row r="604" spans="2:6" ht="12.6" customHeight="1" x14ac:dyDescent="0.3">
      <c r="B604" s="78"/>
      <c r="C604" s="78"/>
      <c r="D604" s="78"/>
      <c r="E604" s="78"/>
      <c r="F604" s="78"/>
    </row>
    <row r="605" spans="2:6" ht="12.6" customHeight="1" x14ac:dyDescent="0.3">
      <c r="B605" s="78"/>
      <c r="C605" s="78"/>
      <c r="D605" s="78"/>
      <c r="E605" s="78"/>
      <c r="F605" s="78"/>
    </row>
    <row r="606" spans="2:6" ht="12.6" customHeight="1" x14ac:dyDescent="0.3">
      <c r="B606" s="78"/>
      <c r="C606" s="78"/>
      <c r="D606" s="78"/>
      <c r="E606" s="78"/>
      <c r="F606" s="78"/>
    </row>
    <row r="607" spans="2:6" ht="12.6" customHeight="1" x14ac:dyDescent="0.3">
      <c r="B607" s="78"/>
      <c r="C607" s="78"/>
      <c r="D607" s="78"/>
      <c r="E607" s="78"/>
      <c r="F607" s="78"/>
    </row>
    <row r="608" spans="2:6" ht="12.6" customHeight="1" x14ac:dyDescent="0.3">
      <c r="B608" s="78"/>
      <c r="C608" s="78"/>
      <c r="D608" s="78"/>
      <c r="E608" s="78"/>
      <c r="F608" s="78"/>
    </row>
    <row r="609" spans="2:6" ht="12.6" customHeight="1" x14ac:dyDescent="0.3">
      <c r="B609" s="78"/>
      <c r="C609" s="78"/>
      <c r="D609" s="78"/>
      <c r="E609" s="78"/>
      <c r="F609" s="78"/>
    </row>
    <row r="610" spans="2:6" ht="12.6" customHeight="1" x14ac:dyDescent="0.3">
      <c r="B610" s="78"/>
      <c r="C610" s="78"/>
      <c r="D610" s="78"/>
      <c r="E610" s="78"/>
      <c r="F610" s="78"/>
    </row>
    <row r="611" spans="2:6" ht="12.6" customHeight="1" x14ac:dyDescent="0.3">
      <c r="B611" s="78"/>
      <c r="C611" s="78"/>
      <c r="D611" s="78"/>
      <c r="E611" s="78"/>
      <c r="F611" s="78"/>
    </row>
    <row r="612" spans="2:6" ht="12.6" customHeight="1" x14ac:dyDescent="0.3">
      <c r="B612" s="78"/>
      <c r="C612" s="78"/>
      <c r="D612" s="78"/>
      <c r="E612" s="78"/>
      <c r="F612" s="78"/>
    </row>
    <row r="613" spans="2:6" ht="12.6" customHeight="1" x14ac:dyDescent="0.3">
      <c r="B613" s="78"/>
      <c r="C613" s="78"/>
      <c r="D613" s="78"/>
      <c r="E613" s="78"/>
      <c r="F613" s="78"/>
    </row>
    <row r="614" spans="2:6" ht="12.6" customHeight="1" x14ac:dyDescent="0.3">
      <c r="B614" s="78"/>
      <c r="C614" s="78"/>
      <c r="D614" s="78"/>
      <c r="E614" s="78"/>
      <c r="F614" s="78"/>
    </row>
    <row r="615" spans="2:6" ht="12.6" customHeight="1" x14ac:dyDescent="0.3">
      <c r="B615" s="78"/>
      <c r="C615" s="78"/>
      <c r="D615" s="78"/>
      <c r="E615" s="78"/>
      <c r="F615" s="78"/>
    </row>
    <row r="616" spans="2:6" ht="12.6" customHeight="1" x14ac:dyDescent="0.3">
      <c r="B616" s="78"/>
      <c r="C616" s="78"/>
      <c r="D616" s="78"/>
      <c r="E616" s="78"/>
      <c r="F616" s="78"/>
    </row>
    <row r="617" spans="2:6" ht="12.6" customHeight="1" x14ac:dyDescent="0.3">
      <c r="B617" s="78"/>
      <c r="C617" s="78"/>
      <c r="D617" s="78"/>
      <c r="E617" s="78"/>
      <c r="F617" s="78"/>
    </row>
    <row r="618" spans="2:6" ht="12.6" customHeight="1" x14ac:dyDescent="0.3">
      <c r="B618" s="78"/>
      <c r="C618" s="78"/>
      <c r="D618" s="78"/>
      <c r="E618" s="78"/>
      <c r="F618" s="78"/>
    </row>
    <row r="619" spans="2:6" ht="12.6" customHeight="1" x14ac:dyDescent="0.3">
      <c r="B619" s="78"/>
      <c r="C619" s="78"/>
      <c r="D619" s="78"/>
      <c r="E619" s="78"/>
      <c r="F619" s="78"/>
    </row>
    <row r="620" spans="2:6" ht="12.6" customHeight="1" x14ac:dyDescent="0.3">
      <c r="B620" s="78"/>
      <c r="C620" s="78"/>
      <c r="D620" s="78"/>
      <c r="E620" s="78"/>
      <c r="F620" s="78"/>
    </row>
    <row r="621" spans="2:6" ht="12.6" customHeight="1" x14ac:dyDescent="0.3">
      <c r="B621" s="78"/>
      <c r="C621" s="78"/>
      <c r="D621" s="78"/>
      <c r="E621" s="78"/>
      <c r="F621" s="78"/>
    </row>
    <row r="622" spans="2:6" ht="12.6" customHeight="1" x14ac:dyDescent="0.3">
      <c r="B622" s="78"/>
      <c r="C622" s="78"/>
      <c r="D622" s="78"/>
      <c r="E622" s="78"/>
      <c r="F622" s="78"/>
    </row>
    <row r="623" spans="2:6" ht="12.6" customHeight="1" x14ac:dyDescent="0.3">
      <c r="B623" s="78"/>
      <c r="C623" s="78"/>
      <c r="D623" s="78"/>
      <c r="E623" s="78"/>
      <c r="F623" s="78"/>
    </row>
    <row r="624" spans="2:6" ht="12.6" customHeight="1" x14ac:dyDescent="0.3">
      <c r="B624" s="78"/>
      <c r="C624" s="78"/>
      <c r="D624" s="78"/>
      <c r="E624" s="78"/>
      <c r="F624" s="78"/>
    </row>
    <row r="625" spans="2:6" ht="12.6" customHeight="1" x14ac:dyDescent="0.3">
      <c r="B625" s="78"/>
      <c r="C625" s="78"/>
      <c r="D625" s="78"/>
      <c r="E625" s="78"/>
      <c r="F625" s="78"/>
    </row>
    <row r="626" spans="2:6" ht="12.6" customHeight="1" x14ac:dyDescent="0.3">
      <c r="B626" s="78"/>
      <c r="C626" s="78"/>
      <c r="D626" s="78"/>
      <c r="E626" s="78"/>
      <c r="F626" s="78"/>
    </row>
    <row r="627" spans="2:6" ht="12.6" customHeight="1" x14ac:dyDescent="0.3">
      <c r="B627" s="78"/>
      <c r="C627" s="78"/>
      <c r="D627" s="78"/>
      <c r="E627" s="78"/>
      <c r="F627" s="78"/>
    </row>
    <row r="628" spans="2:6" ht="12.6" customHeight="1" x14ac:dyDescent="0.3">
      <c r="B628" s="78"/>
      <c r="C628" s="78"/>
      <c r="D628" s="78"/>
      <c r="E628" s="78"/>
      <c r="F628" s="78"/>
    </row>
    <row r="629" spans="2:6" ht="12.6" customHeight="1" x14ac:dyDescent="0.3">
      <c r="B629" s="78"/>
      <c r="C629" s="78"/>
      <c r="D629" s="78"/>
      <c r="E629" s="78"/>
      <c r="F629" s="78"/>
    </row>
    <row r="630" spans="2:6" ht="12.6" customHeight="1" x14ac:dyDescent="0.3">
      <c r="B630" s="78"/>
      <c r="C630" s="78"/>
      <c r="D630" s="78"/>
      <c r="E630" s="78"/>
      <c r="F630" s="78"/>
    </row>
    <row r="631" spans="2:6" ht="12.6" customHeight="1" x14ac:dyDescent="0.3">
      <c r="B631" s="78"/>
      <c r="C631" s="78"/>
      <c r="D631" s="78"/>
      <c r="E631" s="78"/>
      <c r="F631" s="78"/>
    </row>
    <row r="632" spans="2:6" ht="12.6" customHeight="1" x14ac:dyDescent="0.3">
      <c r="B632" s="78"/>
      <c r="C632" s="78"/>
      <c r="D632" s="78"/>
      <c r="E632" s="78"/>
      <c r="F632" s="78"/>
    </row>
    <row r="633" spans="2:6" ht="12.6" customHeight="1" x14ac:dyDescent="0.3">
      <c r="B633" s="78"/>
      <c r="C633" s="78"/>
      <c r="D633" s="78"/>
      <c r="E633" s="78"/>
      <c r="F633" s="78"/>
    </row>
    <row r="634" spans="2:6" ht="12.6" customHeight="1" x14ac:dyDescent="0.3">
      <c r="B634" s="78"/>
      <c r="C634" s="78"/>
      <c r="D634" s="78"/>
      <c r="E634" s="78"/>
      <c r="F634" s="78"/>
    </row>
    <row r="635" spans="2:6" ht="12.6" customHeight="1" x14ac:dyDescent="0.3">
      <c r="B635" s="78"/>
      <c r="C635" s="78"/>
      <c r="D635" s="78"/>
      <c r="E635" s="78"/>
      <c r="F635" s="78"/>
    </row>
    <row r="636" spans="2:6" ht="12.6" customHeight="1" x14ac:dyDescent="0.3">
      <c r="B636" s="78"/>
      <c r="C636" s="78"/>
      <c r="D636" s="78"/>
      <c r="E636" s="78"/>
      <c r="F636" s="78"/>
    </row>
    <row r="637" spans="2:6" ht="12.6" customHeight="1" x14ac:dyDescent="0.3">
      <c r="B637" s="78"/>
      <c r="C637" s="78"/>
      <c r="D637" s="78"/>
      <c r="E637" s="78"/>
      <c r="F637" s="78"/>
    </row>
    <row r="638" spans="2:6" ht="12.6" customHeight="1" x14ac:dyDescent="0.3">
      <c r="B638" s="78"/>
      <c r="C638" s="78"/>
      <c r="D638" s="78"/>
      <c r="E638" s="78"/>
      <c r="F638" s="78"/>
    </row>
    <row r="639" spans="2:6" ht="12.6" customHeight="1" x14ac:dyDescent="0.3">
      <c r="B639" s="78"/>
      <c r="C639" s="78"/>
      <c r="D639" s="78"/>
      <c r="E639" s="78"/>
      <c r="F639" s="78"/>
    </row>
    <row r="640" spans="2:6" ht="12.6" customHeight="1" x14ac:dyDescent="0.3">
      <c r="B640" s="78"/>
      <c r="C640" s="78"/>
      <c r="D640" s="78"/>
      <c r="E640" s="78"/>
      <c r="F640" s="78"/>
    </row>
    <row r="641" spans="2:6" ht="12.6" customHeight="1" x14ac:dyDescent="0.3">
      <c r="B641" s="78"/>
      <c r="C641" s="78"/>
      <c r="D641" s="78"/>
      <c r="E641" s="78"/>
      <c r="F641" s="78"/>
    </row>
    <row r="642" spans="2:6" ht="12.6" customHeight="1" x14ac:dyDescent="0.3">
      <c r="B642" s="78"/>
      <c r="C642" s="78"/>
      <c r="D642" s="78"/>
      <c r="E642" s="78"/>
      <c r="F642" s="78"/>
    </row>
    <row r="643" spans="2:6" ht="12.6" customHeight="1" x14ac:dyDescent="0.3">
      <c r="B643" s="78"/>
      <c r="C643" s="78"/>
      <c r="D643" s="78"/>
      <c r="E643" s="78"/>
      <c r="F643" s="78"/>
    </row>
    <row r="644" spans="2:6" ht="12.6" customHeight="1" x14ac:dyDescent="0.3">
      <c r="B644" s="78"/>
      <c r="C644" s="78"/>
      <c r="D644" s="78"/>
      <c r="E644" s="78"/>
      <c r="F644" s="78"/>
    </row>
    <row r="645" spans="2:6" ht="12.6" customHeight="1" x14ac:dyDescent="0.3">
      <c r="B645" s="78"/>
      <c r="C645" s="78"/>
      <c r="D645" s="78"/>
      <c r="E645" s="78"/>
      <c r="F645" s="78"/>
    </row>
    <row r="646" spans="2:6" ht="12.6" customHeight="1" x14ac:dyDescent="0.3">
      <c r="B646" s="78"/>
      <c r="C646" s="78"/>
      <c r="D646" s="78"/>
      <c r="E646" s="78"/>
      <c r="F646" s="78"/>
    </row>
    <row r="647" spans="2:6" ht="12.6" customHeight="1" x14ac:dyDescent="0.3">
      <c r="B647" s="78"/>
      <c r="C647" s="78"/>
      <c r="D647" s="78"/>
      <c r="E647" s="78"/>
      <c r="F647" s="78"/>
    </row>
    <row r="648" spans="2:6" ht="12.6" customHeight="1" x14ac:dyDescent="0.3">
      <c r="B648" s="78"/>
      <c r="C648" s="78"/>
      <c r="D648" s="78"/>
      <c r="E648" s="78"/>
      <c r="F648" s="78"/>
    </row>
    <row r="649" spans="2:6" ht="12.6" customHeight="1" x14ac:dyDescent="0.3">
      <c r="B649" s="78"/>
      <c r="C649" s="78"/>
      <c r="D649" s="78"/>
      <c r="E649" s="78"/>
      <c r="F649" s="78"/>
    </row>
    <row r="650" spans="2:6" ht="12.6" customHeight="1" x14ac:dyDescent="0.3">
      <c r="B650" s="78"/>
      <c r="C650" s="78"/>
      <c r="D650" s="78"/>
      <c r="E650" s="78"/>
      <c r="F650" s="78"/>
    </row>
    <row r="651" spans="2:6" ht="12.6" customHeight="1" x14ac:dyDescent="0.3">
      <c r="B651" s="78"/>
      <c r="C651" s="78"/>
      <c r="D651" s="78"/>
      <c r="E651" s="78"/>
      <c r="F651" s="78"/>
    </row>
    <row r="652" spans="2:6" ht="12.6" customHeight="1" x14ac:dyDescent="0.3">
      <c r="B652" s="78"/>
      <c r="C652" s="78"/>
      <c r="D652" s="78"/>
      <c r="E652" s="78"/>
      <c r="F652" s="78"/>
    </row>
    <row r="653" spans="2:6" ht="12.6" customHeight="1" x14ac:dyDescent="0.3">
      <c r="B653" s="78"/>
      <c r="C653" s="78"/>
      <c r="D653" s="78"/>
      <c r="E653" s="78"/>
      <c r="F653" s="78"/>
    </row>
    <row r="654" spans="2:6" ht="12.6" customHeight="1" x14ac:dyDescent="0.3">
      <c r="B654" s="78"/>
      <c r="C654" s="78"/>
      <c r="D654" s="78"/>
      <c r="E654" s="78"/>
      <c r="F654" s="78"/>
    </row>
    <row r="655" spans="2:6" ht="12.6" customHeight="1" x14ac:dyDescent="0.3">
      <c r="B655" s="78"/>
      <c r="C655" s="78"/>
      <c r="D655" s="78"/>
      <c r="E655" s="78"/>
      <c r="F655" s="78"/>
    </row>
    <row r="656" spans="2:6" ht="12.6" customHeight="1" x14ac:dyDescent="0.3">
      <c r="B656" s="78"/>
      <c r="C656" s="78"/>
      <c r="D656" s="78"/>
      <c r="E656" s="78"/>
      <c r="F656" s="78"/>
    </row>
    <row r="657" spans="2:6" ht="12.6" customHeight="1" x14ac:dyDescent="0.3">
      <c r="B657" s="78"/>
      <c r="C657" s="78"/>
      <c r="D657" s="78"/>
      <c r="E657" s="78"/>
      <c r="F657" s="78"/>
    </row>
    <row r="658" spans="2:6" ht="12.6" customHeight="1" x14ac:dyDescent="0.3">
      <c r="B658" s="78"/>
      <c r="C658" s="78"/>
      <c r="D658" s="78"/>
      <c r="E658" s="78"/>
      <c r="F658" s="78"/>
    </row>
    <row r="659" spans="2:6" ht="12.6" customHeight="1" x14ac:dyDescent="0.3">
      <c r="B659" s="78"/>
      <c r="C659" s="78"/>
      <c r="D659" s="78"/>
      <c r="E659" s="78"/>
      <c r="F659" s="78"/>
    </row>
    <row r="660" spans="2:6" ht="12.6" customHeight="1" x14ac:dyDescent="0.3">
      <c r="B660" s="78"/>
      <c r="C660" s="78"/>
      <c r="D660" s="78"/>
      <c r="E660" s="78"/>
      <c r="F660" s="78"/>
    </row>
    <row r="661" spans="2:6" ht="12.6" customHeight="1" x14ac:dyDescent="0.3">
      <c r="B661" s="78"/>
      <c r="C661" s="78"/>
      <c r="D661" s="78"/>
      <c r="E661" s="78"/>
      <c r="F661" s="78"/>
    </row>
    <row r="662" spans="2:6" ht="12.6" customHeight="1" x14ac:dyDescent="0.3">
      <c r="B662" s="78"/>
      <c r="C662" s="78"/>
      <c r="D662" s="78"/>
      <c r="E662" s="78"/>
      <c r="F662" s="78"/>
    </row>
    <row r="663" spans="2:6" ht="12.6" customHeight="1" x14ac:dyDescent="0.3">
      <c r="B663" s="78"/>
      <c r="C663" s="78"/>
      <c r="D663" s="78"/>
      <c r="E663" s="78"/>
      <c r="F663" s="78"/>
    </row>
    <row r="664" spans="2:6" ht="12.6" customHeight="1" x14ac:dyDescent="0.3">
      <c r="B664" s="78"/>
      <c r="C664" s="78"/>
      <c r="D664" s="78"/>
      <c r="E664" s="78"/>
      <c r="F664" s="78"/>
    </row>
    <row r="665" spans="2:6" ht="12.6" customHeight="1" x14ac:dyDescent="0.3">
      <c r="B665" s="78"/>
      <c r="C665" s="78"/>
      <c r="D665" s="78"/>
      <c r="E665" s="78"/>
      <c r="F665" s="78"/>
    </row>
    <row r="666" spans="2:6" ht="12.6" customHeight="1" x14ac:dyDescent="0.3">
      <c r="B666" s="78"/>
      <c r="C666" s="78"/>
      <c r="D666" s="78"/>
      <c r="E666" s="78"/>
      <c r="F666" s="78"/>
    </row>
    <row r="667" spans="2:6" ht="12.6" customHeight="1" x14ac:dyDescent="0.3">
      <c r="B667" s="78"/>
      <c r="C667" s="78"/>
      <c r="D667" s="78"/>
      <c r="E667" s="78"/>
      <c r="F667" s="78"/>
    </row>
    <row r="668" spans="2:6" ht="12.6" customHeight="1" x14ac:dyDescent="0.3">
      <c r="B668" s="78"/>
      <c r="C668" s="78"/>
      <c r="D668" s="78"/>
      <c r="E668" s="78"/>
      <c r="F668" s="78"/>
    </row>
    <row r="669" spans="2:6" ht="12.6" customHeight="1" x14ac:dyDescent="0.3">
      <c r="B669" s="78"/>
      <c r="C669" s="78"/>
      <c r="D669" s="78"/>
      <c r="E669" s="78"/>
      <c r="F669" s="78"/>
    </row>
    <row r="670" spans="2:6" ht="12.6" customHeight="1" x14ac:dyDescent="0.3">
      <c r="B670" s="78"/>
      <c r="C670" s="78"/>
      <c r="D670" s="78"/>
      <c r="E670" s="78"/>
      <c r="F670" s="78"/>
    </row>
    <row r="671" spans="2:6" ht="12.6" customHeight="1" x14ac:dyDescent="0.3">
      <c r="B671" s="78"/>
      <c r="C671" s="78"/>
      <c r="D671" s="78"/>
      <c r="E671" s="78"/>
      <c r="F671" s="78"/>
    </row>
    <row r="672" spans="2:6" ht="12.6" customHeight="1" x14ac:dyDescent="0.3">
      <c r="B672" s="78"/>
      <c r="C672" s="78"/>
      <c r="D672" s="78"/>
      <c r="E672" s="78"/>
      <c r="F672" s="78"/>
    </row>
    <row r="673" spans="2:6" ht="12.6" customHeight="1" x14ac:dyDescent="0.3">
      <c r="B673" s="78"/>
      <c r="C673" s="78"/>
      <c r="D673" s="78"/>
      <c r="E673" s="78"/>
      <c r="F673" s="78"/>
    </row>
    <row r="674" spans="2:6" ht="12.6" customHeight="1" x14ac:dyDescent="0.3">
      <c r="B674" s="78"/>
      <c r="C674" s="78"/>
      <c r="D674" s="78"/>
      <c r="E674" s="78"/>
      <c r="F674" s="78"/>
    </row>
    <row r="675" spans="2:6" ht="12.6" customHeight="1" x14ac:dyDescent="0.3">
      <c r="B675" s="78"/>
      <c r="C675" s="78"/>
      <c r="D675" s="78"/>
      <c r="E675" s="78"/>
      <c r="F675" s="78"/>
    </row>
    <row r="676" spans="2:6" ht="12.6" customHeight="1" x14ac:dyDescent="0.3">
      <c r="B676" s="78"/>
      <c r="C676" s="78"/>
      <c r="D676" s="78"/>
      <c r="E676" s="78"/>
      <c r="F676" s="78"/>
    </row>
    <row r="677" spans="2:6" ht="12.6" customHeight="1" x14ac:dyDescent="0.3">
      <c r="B677" s="78"/>
      <c r="C677" s="78"/>
      <c r="D677" s="78"/>
      <c r="E677" s="78"/>
      <c r="F677" s="78"/>
    </row>
    <row r="678" spans="2:6" ht="12.6" customHeight="1" x14ac:dyDescent="0.3">
      <c r="B678" s="78"/>
      <c r="C678" s="78"/>
      <c r="D678" s="78"/>
      <c r="E678" s="78"/>
      <c r="F678" s="78"/>
    </row>
    <row r="679" spans="2:6" ht="12.6" customHeight="1" x14ac:dyDescent="0.3">
      <c r="B679" s="78"/>
      <c r="C679" s="78"/>
      <c r="D679" s="78"/>
      <c r="E679" s="78"/>
      <c r="F679" s="78"/>
    </row>
    <row r="680" spans="2:6" ht="12.6" customHeight="1" x14ac:dyDescent="0.3">
      <c r="B680" s="78"/>
      <c r="C680" s="78"/>
      <c r="D680" s="78"/>
      <c r="E680" s="78"/>
      <c r="F680" s="78"/>
    </row>
    <row r="681" spans="2:6" ht="12.6" customHeight="1" x14ac:dyDescent="0.3">
      <c r="B681" s="78"/>
      <c r="C681" s="78"/>
      <c r="D681" s="78"/>
      <c r="E681" s="78"/>
      <c r="F681" s="78"/>
    </row>
    <row r="682" spans="2:6" ht="12.6" customHeight="1" x14ac:dyDescent="0.3">
      <c r="B682" s="78"/>
      <c r="C682" s="78"/>
      <c r="D682" s="78"/>
      <c r="E682" s="78"/>
      <c r="F682" s="78"/>
    </row>
    <row r="683" spans="2:6" ht="12.6" customHeight="1" x14ac:dyDescent="0.3">
      <c r="B683" s="78"/>
      <c r="C683" s="78"/>
      <c r="D683" s="78"/>
      <c r="E683" s="78"/>
      <c r="F683" s="78"/>
    </row>
    <row r="684" spans="2:6" ht="12.6" customHeight="1" x14ac:dyDescent="0.3">
      <c r="B684" s="78"/>
      <c r="C684" s="78"/>
      <c r="D684" s="78"/>
      <c r="E684" s="78"/>
      <c r="F684" s="78"/>
    </row>
    <row r="685" spans="2:6" ht="12.6" customHeight="1" x14ac:dyDescent="0.3">
      <c r="B685" s="78"/>
      <c r="C685" s="78"/>
      <c r="D685" s="78"/>
      <c r="E685" s="78"/>
      <c r="F685" s="78"/>
    </row>
    <row r="686" spans="2:6" ht="12.6" customHeight="1" x14ac:dyDescent="0.3">
      <c r="B686" s="78"/>
      <c r="C686" s="78"/>
      <c r="D686" s="78"/>
      <c r="E686" s="78"/>
      <c r="F686" s="78"/>
    </row>
    <row r="687" spans="2:6" ht="12.6" customHeight="1" x14ac:dyDescent="0.3">
      <c r="B687" s="78"/>
      <c r="C687" s="78"/>
      <c r="D687" s="78"/>
      <c r="E687" s="78"/>
      <c r="F687" s="78"/>
    </row>
    <row r="688" spans="2:6" ht="12.6" customHeight="1" x14ac:dyDescent="0.3">
      <c r="B688" s="78"/>
      <c r="C688" s="78"/>
      <c r="D688" s="78"/>
      <c r="E688" s="78"/>
      <c r="F688" s="78"/>
    </row>
    <row r="689" spans="2:6" ht="12.6" customHeight="1" x14ac:dyDescent="0.3">
      <c r="B689" s="78"/>
      <c r="C689" s="78"/>
      <c r="D689" s="78"/>
      <c r="E689" s="78"/>
      <c r="F689" s="78"/>
    </row>
    <row r="690" spans="2:6" ht="12.6" customHeight="1" x14ac:dyDescent="0.3">
      <c r="B690" s="78"/>
      <c r="C690" s="78"/>
      <c r="D690" s="78"/>
      <c r="E690" s="78"/>
      <c r="F690" s="78"/>
    </row>
    <row r="691" spans="2:6" ht="12.6" customHeight="1" x14ac:dyDescent="0.3">
      <c r="B691" s="78"/>
      <c r="C691" s="78"/>
      <c r="D691" s="78"/>
      <c r="E691" s="78"/>
      <c r="F691" s="78"/>
    </row>
    <row r="692" spans="2:6" ht="12.6" customHeight="1" x14ac:dyDescent="0.3">
      <c r="B692" s="78"/>
      <c r="C692" s="78"/>
      <c r="D692" s="78"/>
      <c r="E692" s="78"/>
      <c r="F692" s="78"/>
    </row>
    <row r="693" spans="2:6" ht="12.6" customHeight="1" x14ac:dyDescent="0.3">
      <c r="B693" s="78"/>
      <c r="C693" s="78"/>
      <c r="D693" s="78"/>
      <c r="E693" s="78"/>
      <c r="F693" s="78"/>
    </row>
    <row r="694" spans="2:6" ht="12.6" customHeight="1" x14ac:dyDescent="0.3">
      <c r="B694" s="78"/>
      <c r="C694" s="78"/>
      <c r="D694" s="78"/>
      <c r="E694" s="78"/>
      <c r="F694" s="78"/>
    </row>
    <row r="695" spans="2:6" ht="12.6" customHeight="1" x14ac:dyDescent="0.3">
      <c r="B695" s="78"/>
      <c r="C695" s="78"/>
      <c r="D695" s="78"/>
      <c r="E695" s="78"/>
      <c r="F695" s="78"/>
    </row>
    <row r="696" spans="2:6" ht="12.6" customHeight="1" x14ac:dyDescent="0.3">
      <c r="B696" s="78"/>
      <c r="C696" s="78"/>
      <c r="D696" s="78"/>
      <c r="E696" s="78"/>
      <c r="F696" s="78"/>
    </row>
    <row r="697" spans="2:6" ht="12.6" customHeight="1" x14ac:dyDescent="0.3">
      <c r="B697" s="78"/>
      <c r="C697" s="78"/>
      <c r="D697" s="78"/>
      <c r="E697" s="78"/>
      <c r="F697" s="78"/>
    </row>
    <row r="698" spans="2:6" ht="12.6" customHeight="1" x14ac:dyDescent="0.3">
      <c r="B698" s="78"/>
      <c r="C698" s="78"/>
      <c r="D698" s="78"/>
      <c r="E698" s="78"/>
      <c r="F698" s="78"/>
    </row>
    <row r="699" spans="2:6" ht="12.6" customHeight="1" x14ac:dyDescent="0.3">
      <c r="B699" s="78"/>
      <c r="C699" s="78"/>
      <c r="D699" s="78"/>
      <c r="E699" s="78"/>
      <c r="F699" s="78"/>
    </row>
    <row r="700" spans="2:6" ht="12.6" customHeight="1" x14ac:dyDescent="0.3">
      <c r="B700" s="78"/>
      <c r="C700" s="78"/>
      <c r="D700" s="78"/>
      <c r="E700" s="78"/>
      <c r="F700" s="78"/>
    </row>
    <row r="701" spans="2:6" ht="12.6" customHeight="1" x14ac:dyDescent="0.3">
      <c r="B701" s="78"/>
      <c r="C701" s="78"/>
      <c r="D701" s="78"/>
      <c r="E701" s="78"/>
      <c r="F701" s="78"/>
    </row>
    <row r="702" spans="2:6" ht="12.6" customHeight="1" x14ac:dyDescent="0.3">
      <c r="B702" s="78"/>
      <c r="C702" s="78"/>
      <c r="D702" s="78"/>
      <c r="E702" s="78"/>
      <c r="F702" s="78"/>
    </row>
    <row r="703" spans="2:6" ht="12.6" customHeight="1" x14ac:dyDescent="0.3">
      <c r="B703" s="78"/>
      <c r="C703" s="78"/>
      <c r="D703" s="78"/>
      <c r="E703" s="78"/>
      <c r="F703" s="78"/>
    </row>
    <row r="704" spans="2:6" ht="12.6" customHeight="1" x14ac:dyDescent="0.3">
      <c r="B704" s="78"/>
      <c r="C704" s="78"/>
      <c r="D704" s="78"/>
      <c r="E704" s="78"/>
      <c r="F704" s="78"/>
    </row>
    <row r="705" spans="2:6" ht="12.6" customHeight="1" x14ac:dyDescent="0.3">
      <c r="B705" s="78"/>
      <c r="C705" s="78"/>
      <c r="D705" s="78"/>
      <c r="E705" s="78"/>
      <c r="F705" s="78"/>
    </row>
    <row r="706" spans="2:6" ht="12.6" customHeight="1" x14ac:dyDescent="0.3">
      <c r="B706" s="78"/>
      <c r="C706" s="78"/>
      <c r="D706" s="78"/>
      <c r="E706" s="78"/>
      <c r="F706" s="78"/>
    </row>
    <row r="707" spans="2:6" ht="12.6" customHeight="1" x14ac:dyDescent="0.3">
      <c r="B707" s="78"/>
      <c r="C707" s="78"/>
      <c r="D707" s="78"/>
      <c r="E707" s="78"/>
      <c r="F707" s="78"/>
    </row>
    <row r="708" spans="2:6" ht="12.6" customHeight="1" x14ac:dyDescent="0.3">
      <c r="B708" s="78"/>
      <c r="C708" s="78"/>
      <c r="D708" s="78"/>
      <c r="E708" s="78"/>
      <c r="F708" s="78"/>
    </row>
    <row r="709" spans="2:6" ht="12.6" customHeight="1" x14ac:dyDescent="0.3">
      <c r="B709" s="78"/>
      <c r="C709" s="78"/>
      <c r="D709" s="78"/>
      <c r="E709" s="78"/>
      <c r="F709" s="78"/>
    </row>
    <row r="710" spans="2:6" ht="12.6" customHeight="1" x14ac:dyDescent="0.3">
      <c r="B710" s="78"/>
      <c r="C710" s="78"/>
      <c r="D710" s="78"/>
      <c r="E710" s="78"/>
      <c r="F710" s="78"/>
    </row>
    <row r="711" spans="2:6" ht="12.6" customHeight="1" x14ac:dyDescent="0.3">
      <c r="B711" s="78"/>
      <c r="C711" s="78"/>
      <c r="D711" s="78"/>
      <c r="E711" s="78"/>
      <c r="F711" s="78"/>
    </row>
    <row r="712" spans="2:6" ht="12.6" customHeight="1" x14ac:dyDescent="0.3">
      <c r="B712" s="78"/>
      <c r="C712" s="78"/>
      <c r="D712" s="78"/>
      <c r="E712" s="78"/>
      <c r="F712" s="78"/>
    </row>
    <row r="713" spans="2:6" ht="12.6" customHeight="1" x14ac:dyDescent="0.3">
      <c r="B713" s="78"/>
      <c r="C713" s="78"/>
      <c r="D713" s="78"/>
      <c r="E713" s="78"/>
      <c r="F713" s="78"/>
    </row>
    <row r="714" spans="2:6" ht="12.6" customHeight="1" x14ac:dyDescent="0.3">
      <c r="B714" s="78"/>
      <c r="C714" s="78"/>
      <c r="D714" s="78"/>
      <c r="E714" s="78"/>
      <c r="F714" s="78"/>
    </row>
    <row r="715" spans="2:6" ht="12.6" customHeight="1" x14ac:dyDescent="0.3">
      <c r="B715" s="78"/>
      <c r="C715" s="78"/>
      <c r="D715" s="78"/>
      <c r="E715" s="78"/>
      <c r="F715" s="78"/>
    </row>
    <row r="716" spans="2:6" ht="12.6" customHeight="1" x14ac:dyDescent="0.3">
      <c r="B716" s="78"/>
      <c r="C716" s="78"/>
      <c r="D716" s="78"/>
      <c r="E716" s="78"/>
      <c r="F716" s="78"/>
    </row>
    <row r="717" spans="2:6" ht="12.6" customHeight="1" x14ac:dyDescent="0.3">
      <c r="B717" s="78"/>
      <c r="C717" s="78"/>
      <c r="D717" s="78"/>
      <c r="E717" s="78"/>
      <c r="F717" s="78"/>
    </row>
    <row r="718" spans="2:6" ht="12.6" customHeight="1" x14ac:dyDescent="0.3">
      <c r="B718" s="78"/>
      <c r="C718" s="78"/>
      <c r="D718" s="78"/>
      <c r="E718" s="78"/>
      <c r="F718" s="78"/>
    </row>
    <row r="719" spans="2:6" ht="12.6" customHeight="1" x14ac:dyDescent="0.3">
      <c r="B719" s="78"/>
      <c r="C719" s="78"/>
      <c r="D719" s="78"/>
      <c r="E719" s="78"/>
      <c r="F719" s="78"/>
    </row>
    <row r="720" spans="2:6" ht="12.6" customHeight="1" x14ac:dyDescent="0.3">
      <c r="B720" s="78"/>
      <c r="C720" s="78"/>
      <c r="D720" s="78"/>
      <c r="E720" s="78"/>
      <c r="F720" s="78"/>
    </row>
    <row r="721" spans="2:6" ht="12.6" customHeight="1" x14ac:dyDescent="0.3">
      <c r="B721" s="78"/>
      <c r="C721" s="78"/>
      <c r="D721" s="78"/>
      <c r="E721" s="78"/>
      <c r="F721" s="78"/>
    </row>
    <row r="722" spans="2:6" ht="12.6" customHeight="1" x14ac:dyDescent="0.3">
      <c r="B722" s="78"/>
      <c r="C722" s="78"/>
      <c r="D722" s="78"/>
      <c r="E722" s="78"/>
      <c r="F722" s="78"/>
    </row>
    <row r="723" spans="2:6" ht="12.6" customHeight="1" x14ac:dyDescent="0.3">
      <c r="B723" s="78"/>
      <c r="C723" s="78"/>
      <c r="D723" s="78"/>
      <c r="E723" s="78"/>
      <c r="F723" s="78"/>
    </row>
    <row r="724" spans="2:6" ht="12.6" customHeight="1" x14ac:dyDescent="0.3">
      <c r="B724" s="78"/>
      <c r="C724" s="78"/>
      <c r="D724" s="78"/>
      <c r="E724" s="78"/>
      <c r="F724" s="78"/>
    </row>
    <row r="725" spans="2:6" ht="12.6" customHeight="1" x14ac:dyDescent="0.3">
      <c r="B725" s="78"/>
      <c r="C725" s="78"/>
      <c r="D725" s="78"/>
      <c r="E725" s="78"/>
      <c r="F725" s="78"/>
    </row>
    <row r="726" spans="2:6" ht="12.6" customHeight="1" x14ac:dyDescent="0.3">
      <c r="B726" s="78"/>
      <c r="C726" s="78"/>
      <c r="D726" s="78"/>
      <c r="E726" s="78"/>
      <c r="F726" s="78"/>
    </row>
    <row r="727" spans="2:6" ht="12.6" customHeight="1" x14ac:dyDescent="0.3">
      <c r="B727" s="78"/>
      <c r="C727" s="78"/>
      <c r="D727" s="78"/>
      <c r="E727" s="78"/>
      <c r="F727" s="78"/>
    </row>
    <row r="728" spans="2:6" ht="12.6" customHeight="1" x14ac:dyDescent="0.3">
      <c r="B728" s="78"/>
      <c r="C728" s="78"/>
      <c r="D728" s="78"/>
      <c r="E728" s="78"/>
      <c r="F728" s="78"/>
    </row>
    <row r="729" spans="2:6" ht="12.6" customHeight="1" x14ac:dyDescent="0.3">
      <c r="B729" s="78"/>
      <c r="C729" s="78"/>
      <c r="D729" s="78"/>
      <c r="E729" s="78"/>
      <c r="F729" s="78"/>
    </row>
    <row r="730" spans="2:6" ht="12.6" customHeight="1" x14ac:dyDescent="0.3">
      <c r="B730" s="78"/>
      <c r="C730" s="78"/>
      <c r="D730" s="78"/>
      <c r="E730" s="78"/>
      <c r="F730" s="78"/>
    </row>
    <row r="731" spans="2:6" ht="12.6" customHeight="1" x14ac:dyDescent="0.3">
      <c r="B731" s="78"/>
      <c r="C731" s="78"/>
      <c r="D731" s="78"/>
      <c r="E731" s="78"/>
      <c r="F731" s="78"/>
    </row>
    <row r="732" spans="2:6" ht="12.6" customHeight="1" x14ac:dyDescent="0.3">
      <c r="B732" s="78"/>
      <c r="C732" s="78"/>
      <c r="D732" s="78"/>
      <c r="E732" s="78"/>
      <c r="F732" s="78"/>
    </row>
    <row r="733" spans="2:6" ht="12.6" customHeight="1" x14ac:dyDescent="0.3">
      <c r="B733" s="78"/>
      <c r="C733" s="78"/>
      <c r="D733" s="78"/>
      <c r="E733" s="78"/>
      <c r="F733" s="78"/>
    </row>
    <row r="734" spans="2:6" ht="12.6" customHeight="1" x14ac:dyDescent="0.3">
      <c r="B734" s="78"/>
      <c r="C734" s="78"/>
      <c r="D734" s="78"/>
      <c r="E734" s="78"/>
      <c r="F734" s="78"/>
    </row>
    <row r="735" spans="2:6" ht="12.6" customHeight="1" x14ac:dyDescent="0.3">
      <c r="B735" s="78"/>
      <c r="C735" s="78"/>
      <c r="D735" s="78"/>
      <c r="E735" s="78"/>
      <c r="F735" s="78"/>
    </row>
    <row r="736" spans="2:6" ht="12.6" customHeight="1" x14ac:dyDescent="0.3">
      <c r="B736" s="78"/>
      <c r="C736" s="78"/>
      <c r="D736" s="78"/>
      <c r="E736" s="78"/>
      <c r="F736" s="78"/>
    </row>
    <row r="737" spans="2:6" ht="12.6" customHeight="1" x14ac:dyDescent="0.3">
      <c r="B737" s="78"/>
      <c r="C737" s="78"/>
      <c r="D737" s="78"/>
      <c r="E737" s="78"/>
      <c r="F737" s="78"/>
    </row>
    <row r="738" spans="2:6" ht="12.6" customHeight="1" x14ac:dyDescent="0.3">
      <c r="B738" s="78"/>
      <c r="C738" s="78"/>
      <c r="D738" s="78"/>
      <c r="E738" s="78"/>
      <c r="F738" s="78"/>
    </row>
    <row r="739" spans="2:6" ht="12.6" customHeight="1" x14ac:dyDescent="0.3">
      <c r="B739" s="78"/>
      <c r="C739" s="78"/>
      <c r="D739" s="78"/>
      <c r="E739" s="78"/>
      <c r="F739" s="78"/>
    </row>
    <row r="740" spans="2:6" ht="12.6" customHeight="1" x14ac:dyDescent="0.3">
      <c r="B740" s="78"/>
      <c r="C740" s="78"/>
      <c r="D740" s="78"/>
      <c r="E740" s="78"/>
      <c r="F740" s="78"/>
    </row>
    <row r="741" spans="2:6" ht="12.6" customHeight="1" x14ac:dyDescent="0.3">
      <c r="B741" s="78"/>
      <c r="C741" s="78"/>
      <c r="D741" s="78"/>
      <c r="E741" s="78"/>
      <c r="F741" s="78"/>
    </row>
    <row r="742" spans="2:6" ht="12.6" customHeight="1" x14ac:dyDescent="0.3">
      <c r="B742" s="78"/>
      <c r="C742" s="78"/>
      <c r="D742" s="78"/>
      <c r="E742" s="78"/>
      <c r="F742" s="78"/>
    </row>
    <row r="743" spans="2:6" ht="12.6" customHeight="1" x14ac:dyDescent="0.3">
      <c r="B743" s="78"/>
      <c r="C743" s="78"/>
      <c r="D743" s="78"/>
      <c r="E743" s="78"/>
      <c r="F743" s="78"/>
    </row>
    <row r="744" spans="2:6" ht="12.6" customHeight="1" x14ac:dyDescent="0.3">
      <c r="B744" s="78"/>
      <c r="C744" s="78"/>
      <c r="D744" s="78"/>
      <c r="E744" s="78"/>
      <c r="F744" s="78"/>
    </row>
    <row r="745" spans="2:6" ht="12.6" customHeight="1" x14ac:dyDescent="0.3">
      <c r="B745" s="78"/>
      <c r="C745" s="78"/>
      <c r="D745" s="78"/>
      <c r="E745" s="78"/>
      <c r="F745" s="78"/>
    </row>
    <row r="746" spans="2:6" ht="12.6" customHeight="1" x14ac:dyDescent="0.3">
      <c r="B746" s="78"/>
      <c r="C746" s="78"/>
      <c r="D746" s="78"/>
      <c r="E746" s="78"/>
      <c r="F746" s="78"/>
    </row>
    <row r="747" spans="2:6" ht="12.6" customHeight="1" x14ac:dyDescent="0.3">
      <c r="B747" s="78"/>
      <c r="C747" s="78"/>
      <c r="D747" s="78"/>
      <c r="E747" s="78"/>
      <c r="F747" s="78"/>
    </row>
    <row r="748" spans="2:6" ht="12.6" customHeight="1" x14ac:dyDescent="0.3">
      <c r="B748" s="78"/>
      <c r="C748" s="78"/>
      <c r="D748" s="78"/>
      <c r="E748" s="78"/>
      <c r="F748" s="78"/>
    </row>
    <row r="749" spans="2:6" ht="12.6" customHeight="1" x14ac:dyDescent="0.3">
      <c r="B749" s="78"/>
      <c r="C749" s="78"/>
      <c r="D749" s="78"/>
      <c r="E749" s="78"/>
      <c r="F749" s="78"/>
    </row>
    <row r="750" spans="2:6" ht="12.6" customHeight="1" x14ac:dyDescent="0.3">
      <c r="B750" s="78"/>
      <c r="C750" s="78"/>
      <c r="D750" s="78"/>
      <c r="E750" s="78"/>
      <c r="F750" s="78"/>
    </row>
    <row r="751" spans="2:6" ht="12.6" customHeight="1" x14ac:dyDescent="0.3">
      <c r="B751" s="78"/>
      <c r="C751" s="78"/>
      <c r="D751" s="78"/>
      <c r="E751" s="78"/>
      <c r="F751" s="78"/>
    </row>
    <row r="752" spans="2:6" ht="12.6" customHeight="1" x14ac:dyDescent="0.3">
      <c r="B752" s="78"/>
      <c r="C752" s="78"/>
      <c r="D752" s="78"/>
      <c r="E752" s="78"/>
      <c r="F752" s="78"/>
    </row>
    <row r="753" spans="2:6" ht="12.6" customHeight="1" x14ac:dyDescent="0.3">
      <c r="B753" s="78"/>
      <c r="C753" s="78"/>
      <c r="D753" s="78"/>
      <c r="E753" s="78"/>
      <c r="F753" s="78"/>
    </row>
    <row r="754" spans="2:6" ht="12.6" customHeight="1" x14ac:dyDescent="0.3">
      <c r="B754" s="78"/>
      <c r="C754" s="78"/>
      <c r="D754" s="78"/>
      <c r="E754" s="78"/>
      <c r="F754" s="78"/>
    </row>
    <row r="755" spans="2:6" ht="12.6" customHeight="1" x14ac:dyDescent="0.3">
      <c r="B755" s="78"/>
      <c r="C755" s="78"/>
      <c r="D755" s="78"/>
      <c r="E755" s="78"/>
      <c r="F755" s="78"/>
    </row>
    <row r="756" spans="2:6" ht="12.6" customHeight="1" x14ac:dyDescent="0.3">
      <c r="B756" s="78"/>
      <c r="C756" s="78"/>
      <c r="D756" s="78"/>
      <c r="E756" s="78"/>
      <c r="F756" s="78"/>
    </row>
    <row r="757" spans="2:6" ht="12.6" customHeight="1" x14ac:dyDescent="0.3">
      <c r="B757" s="78"/>
      <c r="C757" s="78"/>
      <c r="D757" s="78"/>
      <c r="E757" s="78"/>
      <c r="F757" s="78"/>
    </row>
    <row r="758" spans="2:6" ht="12.6" customHeight="1" x14ac:dyDescent="0.3">
      <c r="B758" s="78"/>
      <c r="C758" s="78"/>
      <c r="D758" s="78"/>
      <c r="E758" s="78"/>
      <c r="F758" s="78"/>
    </row>
    <row r="759" spans="2:6" ht="12.6" customHeight="1" x14ac:dyDescent="0.3">
      <c r="B759" s="78"/>
      <c r="C759" s="78"/>
      <c r="D759" s="78"/>
      <c r="E759" s="78"/>
      <c r="F759" s="78"/>
    </row>
    <row r="760" spans="2:6" ht="12.6" customHeight="1" x14ac:dyDescent="0.3">
      <c r="B760" s="78"/>
      <c r="C760" s="78"/>
      <c r="D760" s="78"/>
      <c r="E760" s="78"/>
      <c r="F760" s="78"/>
    </row>
    <row r="761" spans="2:6" ht="12.6" customHeight="1" x14ac:dyDescent="0.3">
      <c r="B761" s="78"/>
      <c r="C761" s="78"/>
      <c r="D761" s="78"/>
      <c r="E761" s="78"/>
      <c r="F761" s="78"/>
    </row>
    <row r="762" spans="2:6" ht="12.6" customHeight="1" x14ac:dyDescent="0.3">
      <c r="B762" s="78"/>
      <c r="C762" s="78"/>
      <c r="D762" s="78"/>
      <c r="E762" s="78"/>
      <c r="F762" s="78"/>
    </row>
    <row r="763" spans="2:6" ht="12.6" customHeight="1" x14ac:dyDescent="0.3">
      <c r="B763" s="78"/>
      <c r="C763" s="78"/>
      <c r="D763" s="78"/>
      <c r="E763" s="78"/>
      <c r="F763" s="78"/>
    </row>
    <row r="764" spans="2:6" ht="12.6" customHeight="1" x14ac:dyDescent="0.3">
      <c r="B764" s="78"/>
      <c r="C764" s="78"/>
      <c r="D764" s="78"/>
      <c r="E764" s="78"/>
      <c r="F764" s="78"/>
    </row>
    <row r="765" spans="2:6" ht="12.6" customHeight="1" x14ac:dyDescent="0.3">
      <c r="B765" s="78"/>
      <c r="C765" s="78"/>
      <c r="D765" s="78"/>
      <c r="E765" s="78"/>
      <c r="F765" s="78"/>
    </row>
    <row r="766" spans="2:6" ht="12.6" customHeight="1" x14ac:dyDescent="0.3">
      <c r="B766" s="78"/>
      <c r="C766" s="78"/>
      <c r="D766" s="78"/>
      <c r="E766" s="78"/>
      <c r="F766" s="78"/>
    </row>
    <row r="767" spans="2:6" ht="12.6" customHeight="1" x14ac:dyDescent="0.3">
      <c r="B767" s="78"/>
      <c r="C767" s="78"/>
      <c r="D767" s="78"/>
      <c r="E767" s="78"/>
      <c r="F767" s="78"/>
    </row>
    <row r="768" spans="2:6" ht="12.6" customHeight="1" x14ac:dyDescent="0.3">
      <c r="B768" s="78"/>
      <c r="C768" s="78"/>
      <c r="D768" s="78"/>
      <c r="E768" s="78"/>
      <c r="F768" s="78"/>
    </row>
    <row r="769" spans="2:6" ht="12.6" customHeight="1" x14ac:dyDescent="0.3">
      <c r="B769" s="78"/>
      <c r="C769" s="78"/>
      <c r="D769" s="78"/>
      <c r="E769" s="78"/>
      <c r="F769" s="78"/>
    </row>
    <row r="770" spans="2:6" ht="12.6" customHeight="1" x14ac:dyDescent="0.3">
      <c r="B770" s="78"/>
      <c r="C770" s="78"/>
      <c r="D770" s="78"/>
      <c r="E770" s="78"/>
      <c r="F770" s="78"/>
    </row>
    <row r="771" spans="2:6" ht="12.6" customHeight="1" x14ac:dyDescent="0.3">
      <c r="B771" s="78"/>
      <c r="C771" s="78"/>
      <c r="D771" s="78"/>
      <c r="E771" s="78"/>
      <c r="F771" s="78"/>
    </row>
    <row r="772" spans="2:6" ht="12.6" customHeight="1" x14ac:dyDescent="0.3">
      <c r="B772" s="78"/>
      <c r="C772" s="78"/>
      <c r="D772" s="78"/>
      <c r="E772" s="78"/>
      <c r="F772" s="78"/>
    </row>
    <row r="773" spans="2:6" ht="12.6" customHeight="1" x14ac:dyDescent="0.3">
      <c r="B773" s="78"/>
      <c r="C773" s="78"/>
      <c r="D773" s="78"/>
      <c r="E773" s="78"/>
      <c r="F773" s="78"/>
    </row>
    <row r="774" spans="2:6" ht="12.6" customHeight="1" x14ac:dyDescent="0.3">
      <c r="B774" s="78"/>
      <c r="C774" s="78"/>
      <c r="D774" s="78"/>
      <c r="E774" s="78"/>
      <c r="F774" s="78"/>
    </row>
    <row r="775" spans="2:6" ht="12.6" customHeight="1" x14ac:dyDescent="0.3">
      <c r="B775" s="78"/>
      <c r="C775" s="78"/>
      <c r="D775" s="78"/>
      <c r="E775" s="78"/>
      <c r="F775" s="78"/>
    </row>
    <row r="776" spans="2:6" ht="12.6" customHeight="1" x14ac:dyDescent="0.3">
      <c r="B776" s="78"/>
      <c r="C776" s="78"/>
      <c r="D776" s="78"/>
      <c r="E776" s="78"/>
      <c r="F776" s="78"/>
    </row>
    <row r="777" spans="2:6" ht="12.6" customHeight="1" x14ac:dyDescent="0.3">
      <c r="B777" s="78"/>
      <c r="C777" s="78"/>
      <c r="D777" s="78"/>
      <c r="E777" s="78"/>
      <c r="F777" s="78"/>
    </row>
    <row r="778" spans="2:6" ht="12.6" customHeight="1" x14ac:dyDescent="0.3">
      <c r="B778" s="78"/>
      <c r="C778" s="78"/>
      <c r="D778" s="78"/>
      <c r="E778" s="78"/>
      <c r="F778" s="78"/>
    </row>
    <row r="779" spans="2:6" ht="12.6" customHeight="1" x14ac:dyDescent="0.3">
      <c r="B779" s="78"/>
      <c r="C779" s="78"/>
      <c r="D779" s="78"/>
      <c r="E779" s="78"/>
      <c r="F779" s="78"/>
    </row>
    <row r="780" spans="2:6" ht="12.6" customHeight="1" x14ac:dyDescent="0.3">
      <c r="B780" s="78"/>
      <c r="C780" s="78"/>
      <c r="D780" s="78"/>
      <c r="E780" s="78"/>
      <c r="F780" s="78"/>
    </row>
    <row r="781" spans="2:6" ht="12.6" customHeight="1" x14ac:dyDescent="0.3">
      <c r="B781" s="78"/>
      <c r="C781" s="78"/>
      <c r="D781" s="78"/>
      <c r="E781" s="78"/>
      <c r="F781" s="78"/>
    </row>
    <row r="782" spans="2:6" ht="12.6" customHeight="1" x14ac:dyDescent="0.3">
      <c r="B782" s="78"/>
      <c r="C782" s="78"/>
      <c r="D782" s="78"/>
      <c r="E782" s="78"/>
      <c r="F782" s="78"/>
    </row>
    <row r="783" spans="2:6" ht="12.6" customHeight="1" x14ac:dyDescent="0.3">
      <c r="B783" s="78"/>
      <c r="C783" s="78"/>
      <c r="D783" s="78"/>
      <c r="E783" s="78"/>
      <c r="F783" s="78"/>
    </row>
    <row r="784" spans="2:6" ht="12.6" customHeight="1" x14ac:dyDescent="0.3">
      <c r="B784" s="78"/>
      <c r="C784" s="78"/>
      <c r="D784" s="78"/>
      <c r="E784" s="78"/>
      <c r="F784" s="78"/>
    </row>
    <row r="785" spans="2:6" ht="12.6" customHeight="1" x14ac:dyDescent="0.3">
      <c r="B785" s="78"/>
      <c r="C785" s="78"/>
      <c r="D785" s="78"/>
      <c r="E785" s="78"/>
      <c r="F785" s="78"/>
    </row>
    <row r="786" spans="2:6" ht="12.6" customHeight="1" x14ac:dyDescent="0.3">
      <c r="B786" s="78"/>
      <c r="C786" s="78"/>
      <c r="D786" s="78"/>
      <c r="E786" s="78"/>
      <c r="F786" s="78"/>
    </row>
    <row r="787" spans="2:6" ht="12.6" customHeight="1" x14ac:dyDescent="0.3">
      <c r="B787" s="78"/>
      <c r="C787" s="78"/>
      <c r="D787" s="78"/>
      <c r="E787" s="78"/>
      <c r="F787" s="78"/>
    </row>
    <row r="788" spans="2:6" ht="12.6" customHeight="1" x14ac:dyDescent="0.3">
      <c r="B788" s="78"/>
      <c r="C788" s="78"/>
      <c r="D788" s="78"/>
      <c r="E788" s="78"/>
      <c r="F788" s="78"/>
    </row>
    <row r="789" spans="2:6" ht="12.6" customHeight="1" x14ac:dyDescent="0.3">
      <c r="B789" s="78"/>
      <c r="C789" s="78"/>
      <c r="D789" s="78"/>
      <c r="E789" s="78"/>
      <c r="F789" s="78"/>
    </row>
    <row r="790" spans="2:6" ht="12.6" customHeight="1" x14ac:dyDescent="0.3">
      <c r="B790" s="78"/>
      <c r="C790" s="78"/>
      <c r="D790" s="78"/>
      <c r="E790" s="78"/>
      <c r="F790" s="78"/>
    </row>
    <row r="791" spans="2:6" ht="12.6" customHeight="1" x14ac:dyDescent="0.3">
      <c r="B791" s="78"/>
      <c r="C791" s="78"/>
      <c r="D791" s="78"/>
      <c r="E791" s="78"/>
      <c r="F791" s="78"/>
    </row>
    <row r="792" spans="2:6" ht="12.6" customHeight="1" x14ac:dyDescent="0.3">
      <c r="B792" s="78"/>
      <c r="C792" s="78"/>
      <c r="D792" s="78"/>
      <c r="E792" s="78"/>
      <c r="F792" s="78"/>
    </row>
    <row r="793" spans="2:6" ht="12.6" customHeight="1" x14ac:dyDescent="0.3">
      <c r="B793" s="78"/>
      <c r="C793" s="78"/>
      <c r="D793" s="78"/>
      <c r="E793" s="78"/>
      <c r="F793" s="78"/>
    </row>
    <row r="794" spans="2:6" ht="12.6" customHeight="1" x14ac:dyDescent="0.3">
      <c r="B794" s="78"/>
      <c r="C794" s="78"/>
      <c r="D794" s="78"/>
      <c r="E794" s="78"/>
      <c r="F794" s="78"/>
    </row>
    <row r="795" spans="2:6" ht="12.6" customHeight="1" x14ac:dyDescent="0.3">
      <c r="B795" s="78"/>
      <c r="C795" s="78"/>
      <c r="D795" s="78"/>
      <c r="E795" s="78"/>
      <c r="F795" s="78"/>
    </row>
    <row r="796" spans="2:6" ht="12.6" customHeight="1" x14ac:dyDescent="0.3">
      <c r="B796" s="78"/>
      <c r="C796" s="78"/>
      <c r="D796" s="78"/>
      <c r="E796" s="78"/>
      <c r="F796" s="78"/>
    </row>
    <row r="797" spans="2:6" ht="12.6" customHeight="1" x14ac:dyDescent="0.3">
      <c r="B797" s="78"/>
      <c r="C797" s="78"/>
      <c r="D797" s="78"/>
      <c r="E797" s="78"/>
      <c r="F797" s="78"/>
    </row>
    <row r="798" spans="2:6" ht="12.6" customHeight="1" x14ac:dyDescent="0.3">
      <c r="B798" s="78"/>
      <c r="C798" s="78"/>
      <c r="D798" s="78"/>
      <c r="E798" s="78"/>
      <c r="F798" s="78"/>
    </row>
    <row r="799" spans="2:6" ht="12.6" customHeight="1" x14ac:dyDescent="0.3">
      <c r="B799" s="78"/>
      <c r="C799" s="78"/>
      <c r="D799" s="78"/>
      <c r="E799" s="78"/>
      <c r="F799" s="78"/>
    </row>
    <row r="800" spans="2:6" ht="12.6" customHeight="1" x14ac:dyDescent="0.3">
      <c r="B800" s="78"/>
      <c r="C800" s="78"/>
      <c r="D800" s="78"/>
      <c r="E800" s="78"/>
      <c r="F800" s="78"/>
    </row>
    <row r="801" spans="2:6" ht="12.6" customHeight="1" x14ac:dyDescent="0.3">
      <c r="B801" s="78"/>
      <c r="C801" s="78"/>
      <c r="D801" s="78"/>
      <c r="E801" s="78"/>
      <c r="F801" s="78"/>
    </row>
    <row r="802" spans="2:6" ht="12.6" customHeight="1" x14ac:dyDescent="0.3">
      <c r="B802" s="78"/>
      <c r="C802" s="78"/>
      <c r="D802" s="78"/>
      <c r="E802" s="78"/>
      <c r="F802" s="78"/>
    </row>
    <row r="803" spans="2:6" ht="12.6" customHeight="1" x14ac:dyDescent="0.3">
      <c r="B803" s="78"/>
      <c r="C803" s="78"/>
      <c r="D803" s="78"/>
      <c r="E803" s="78"/>
      <c r="F803" s="78"/>
    </row>
    <row r="804" spans="2:6" ht="12.6" customHeight="1" x14ac:dyDescent="0.3">
      <c r="B804" s="78"/>
      <c r="C804" s="78"/>
      <c r="D804" s="78"/>
      <c r="E804" s="78"/>
      <c r="F804" s="78"/>
    </row>
    <row r="805" spans="2:6" ht="12.6" customHeight="1" x14ac:dyDescent="0.3">
      <c r="B805" s="78"/>
      <c r="C805" s="78"/>
      <c r="D805" s="78"/>
      <c r="E805" s="78"/>
      <c r="F805" s="78"/>
    </row>
    <row r="806" spans="2:6" ht="12.6" customHeight="1" x14ac:dyDescent="0.3">
      <c r="B806" s="78"/>
      <c r="C806" s="78"/>
      <c r="D806" s="78"/>
      <c r="E806" s="78"/>
      <c r="F806" s="78"/>
    </row>
    <row r="807" spans="2:6" ht="12.6" customHeight="1" x14ac:dyDescent="0.3">
      <c r="B807" s="78"/>
      <c r="C807" s="78"/>
      <c r="D807" s="78"/>
      <c r="E807" s="78"/>
      <c r="F807" s="78"/>
    </row>
    <row r="808" spans="2:6" ht="12.6" customHeight="1" x14ac:dyDescent="0.3">
      <c r="B808" s="78"/>
      <c r="C808" s="78"/>
      <c r="D808" s="78"/>
      <c r="E808" s="78"/>
      <c r="F808" s="78"/>
    </row>
    <row r="809" spans="2:6" ht="12.6" customHeight="1" x14ac:dyDescent="0.3">
      <c r="B809" s="78"/>
      <c r="C809" s="78"/>
      <c r="D809" s="78"/>
      <c r="E809" s="78"/>
      <c r="F809" s="78"/>
    </row>
    <row r="810" spans="2:6" ht="12.6" customHeight="1" x14ac:dyDescent="0.3">
      <c r="B810" s="78"/>
      <c r="C810" s="78"/>
      <c r="D810" s="78"/>
      <c r="E810" s="78"/>
      <c r="F810" s="78"/>
    </row>
    <row r="811" spans="2:6" ht="12.6" customHeight="1" x14ac:dyDescent="0.3">
      <c r="B811" s="78"/>
      <c r="C811" s="78"/>
      <c r="D811" s="78"/>
      <c r="E811" s="78"/>
      <c r="F811" s="78"/>
    </row>
    <row r="812" spans="2:6" ht="12.6" customHeight="1" x14ac:dyDescent="0.3">
      <c r="B812" s="78"/>
      <c r="C812" s="78"/>
      <c r="D812" s="78"/>
      <c r="E812" s="78"/>
      <c r="F812" s="78"/>
    </row>
    <row r="813" spans="2:6" ht="12.6" customHeight="1" x14ac:dyDescent="0.3">
      <c r="B813" s="78"/>
      <c r="C813" s="78"/>
      <c r="D813" s="78"/>
      <c r="E813" s="78"/>
      <c r="F813" s="78"/>
    </row>
    <row r="814" spans="2:6" ht="12.6" customHeight="1" x14ac:dyDescent="0.3">
      <c r="B814" s="78"/>
      <c r="C814" s="78"/>
      <c r="D814" s="78"/>
      <c r="E814" s="78"/>
      <c r="F814" s="78"/>
    </row>
    <row r="815" spans="2:6" ht="12.6" customHeight="1" x14ac:dyDescent="0.3">
      <c r="B815" s="78"/>
      <c r="C815" s="78"/>
      <c r="D815" s="78"/>
      <c r="E815" s="78"/>
      <c r="F815" s="78"/>
    </row>
    <row r="816" spans="2:6" ht="12.6" customHeight="1" x14ac:dyDescent="0.3">
      <c r="B816" s="78"/>
      <c r="C816" s="78"/>
      <c r="D816" s="78"/>
      <c r="E816" s="78"/>
      <c r="F816" s="78"/>
    </row>
    <row r="817" spans="2:6" ht="12.6" customHeight="1" x14ac:dyDescent="0.3">
      <c r="B817" s="78"/>
      <c r="C817" s="78"/>
      <c r="D817" s="78"/>
      <c r="E817" s="78"/>
      <c r="F817" s="78"/>
    </row>
    <row r="818" spans="2:6" ht="12.6" customHeight="1" x14ac:dyDescent="0.3">
      <c r="B818" s="78"/>
      <c r="C818" s="78"/>
      <c r="D818" s="78"/>
      <c r="E818" s="78"/>
      <c r="F818" s="78"/>
    </row>
    <row r="819" spans="2:6" ht="12.6" customHeight="1" x14ac:dyDescent="0.3">
      <c r="B819" s="78"/>
      <c r="C819" s="78"/>
      <c r="D819" s="78"/>
      <c r="E819" s="78"/>
      <c r="F819" s="78"/>
    </row>
    <row r="820" spans="2:6" ht="12.6" customHeight="1" x14ac:dyDescent="0.3">
      <c r="B820" s="78"/>
      <c r="C820" s="78"/>
      <c r="D820" s="78"/>
      <c r="E820" s="78"/>
      <c r="F820" s="78"/>
    </row>
    <row r="821" spans="2:6" ht="12.6" customHeight="1" x14ac:dyDescent="0.3">
      <c r="B821" s="78"/>
      <c r="C821" s="78"/>
      <c r="D821" s="78"/>
      <c r="E821" s="78"/>
      <c r="F821" s="78"/>
    </row>
    <row r="822" spans="2:6" ht="12.6" customHeight="1" x14ac:dyDescent="0.3">
      <c r="B822" s="78"/>
      <c r="C822" s="78"/>
      <c r="D822" s="78"/>
      <c r="E822" s="78"/>
      <c r="F822" s="78"/>
    </row>
    <row r="823" spans="2:6" ht="12.6" customHeight="1" x14ac:dyDescent="0.3">
      <c r="B823" s="78"/>
      <c r="C823" s="78"/>
      <c r="D823" s="78"/>
      <c r="E823" s="78"/>
      <c r="F823" s="78"/>
    </row>
    <row r="824" spans="2:6" ht="12.6" customHeight="1" x14ac:dyDescent="0.3">
      <c r="B824" s="78"/>
      <c r="C824" s="78"/>
      <c r="D824" s="78"/>
      <c r="E824" s="78"/>
      <c r="F824" s="78"/>
    </row>
    <row r="825" spans="2:6" ht="12.6" customHeight="1" x14ac:dyDescent="0.3">
      <c r="B825" s="78"/>
      <c r="C825" s="78"/>
      <c r="D825" s="78"/>
      <c r="E825" s="78"/>
      <c r="F825" s="78"/>
    </row>
    <row r="826" spans="2:6" ht="12.6" customHeight="1" x14ac:dyDescent="0.3">
      <c r="B826" s="78"/>
      <c r="C826" s="78"/>
      <c r="D826" s="78"/>
      <c r="E826" s="78"/>
      <c r="F826" s="78"/>
    </row>
    <row r="827" spans="2:6" ht="12.6" customHeight="1" x14ac:dyDescent="0.3">
      <c r="B827" s="78"/>
      <c r="C827" s="78"/>
      <c r="D827" s="78"/>
      <c r="E827" s="78"/>
      <c r="F827" s="78"/>
    </row>
    <row r="828" spans="2:6" ht="12.6" customHeight="1" x14ac:dyDescent="0.3">
      <c r="B828" s="78"/>
      <c r="C828" s="78"/>
      <c r="D828" s="78"/>
      <c r="E828" s="78"/>
      <c r="F828" s="78"/>
    </row>
    <row r="829" spans="2:6" ht="12.6" customHeight="1" x14ac:dyDescent="0.3">
      <c r="B829" s="78"/>
      <c r="C829" s="78"/>
      <c r="D829" s="78"/>
      <c r="E829" s="78"/>
      <c r="F829" s="78"/>
    </row>
    <row r="830" spans="2:6" ht="12.6" customHeight="1" x14ac:dyDescent="0.3">
      <c r="B830" s="78"/>
      <c r="C830" s="78"/>
      <c r="D830" s="78"/>
      <c r="E830" s="78"/>
      <c r="F830" s="78"/>
    </row>
    <row r="831" spans="2:6" ht="12.6" customHeight="1" x14ac:dyDescent="0.3">
      <c r="B831" s="78"/>
      <c r="C831" s="78"/>
      <c r="D831" s="78"/>
      <c r="E831" s="78"/>
      <c r="F831" s="78"/>
    </row>
    <row r="832" spans="2:6" ht="12.6" customHeight="1" x14ac:dyDescent="0.3">
      <c r="B832" s="78"/>
      <c r="C832" s="78"/>
      <c r="D832" s="78"/>
      <c r="E832" s="78"/>
      <c r="F832" s="78"/>
    </row>
    <row r="833" spans="2:6" ht="12.6" customHeight="1" x14ac:dyDescent="0.3">
      <c r="B833" s="78"/>
      <c r="C833" s="78"/>
      <c r="D833" s="78"/>
      <c r="E833" s="78"/>
      <c r="F833" s="78"/>
    </row>
    <row r="834" spans="2:6" ht="12.6" customHeight="1" x14ac:dyDescent="0.3">
      <c r="B834" s="78"/>
      <c r="C834" s="78"/>
      <c r="D834" s="78"/>
      <c r="E834" s="78"/>
      <c r="F834" s="78"/>
    </row>
    <row r="835" spans="2:6" ht="12.6" customHeight="1" x14ac:dyDescent="0.3">
      <c r="B835" s="78"/>
      <c r="C835" s="78"/>
      <c r="D835" s="78"/>
      <c r="E835" s="78"/>
      <c r="F835" s="78"/>
    </row>
    <row r="836" spans="2:6" ht="12.6" customHeight="1" x14ac:dyDescent="0.3">
      <c r="B836" s="78"/>
      <c r="C836" s="78"/>
      <c r="D836" s="78"/>
      <c r="E836" s="78"/>
      <c r="F836" s="78"/>
    </row>
    <row r="837" spans="2:6" ht="12.6" customHeight="1" x14ac:dyDescent="0.3">
      <c r="B837" s="78"/>
      <c r="C837" s="78"/>
      <c r="D837" s="78"/>
      <c r="E837" s="78"/>
      <c r="F837" s="78"/>
    </row>
    <row r="838" spans="2:6" ht="12.6" customHeight="1" x14ac:dyDescent="0.3">
      <c r="B838" s="78"/>
      <c r="C838" s="78"/>
      <c r="D838" s="78"/>
      <c r="E838" s="78"/>
      <c r="F838" s="78"/>
    </row>
    <row r="839" spans="2:6" ht="12.6" customHeight="1" x14ac:dyDescent="0.3">
      <c r="B839" s="78"/>
      <c r="C839" s="78"/>
      <c r="D839" s="78"/>
      <c r="E839" s="78"/>
      <c r="F839" s="78"/>
    </row>
    <row r="840" spans="2:6" ht="12.6" customHeight="1" x14ac:dyDescent="0.3">
      <c r="B840" s="78"/>
      <c r="C840" s="78"/>
      <c r="D840" s="78"/>
      <c r="E840" s="78"/>
      <c r="F840" s="78"/>
    </row>
    <row r="841" spans="2:6" ht="12.6" customHeight="1" x14ac:dyDescent="0.3">
      <c r="B841" s="78"/>
      <c r="C841" s="78"/>
      <c r="D841" s="78"/>
      <c r="E841" s="78"/>
      <c r="F841" s="78"/>
    </row>
    <row r="842" spans="2:6" ht="12.6" customHeight="1" x14ac:dyDescent="0.3">
      <c r="B842" s="78"/>
      <c r="C842" s="78"/>
      <c r="D842" s="78"/>
      <c r="E842" s="78"/>
      <c r="F842" s="78"/>
    </row>
    <row r="843" spans="2:6" ht="12.6" customHeight="1" x14ac:dyDescent="0.3">
      <c r="B843" s="78"/>
      <c r="C843" s="78"/>
      <c r="D843" s="78"/>
      <c r="E843" s="78"/>
      <c r="F843" s="78"/>
    </row>
    <row r="844" spans="2:6" ht="12.6" customHeight="1" x14ac:dyDescent="0.3">
      <c r="B844" s="78"/>
      <c r="C844" s="78"/>
      <c r="D844" s="78"/>
      <c r="E844" s="78"/>
      <c r="F844" s="78"/>
    </row>
    <row r="845" spans="2:6" ht="12.6" customHeight="1" x14ac:dyDescent="0.3">
      <c r="B845" s="78"/>
      <c r="C845" s="78"/>
      <c r="D845" s="78"/>
      <c r="E845" s="78"/>
      <c r="F845" s="78"/>
    </row>
    <row r="846" spans="2:6" ht="12.6" customHeight="1" x14ac:dyDescent="0.3">
      <c r="B846" s="78"/>
      <c r="C846" s="78"/>
      <c r="D846" s="78"/>
      <c r="E846" s="78"/>
      <c r="F846" s="78"/>
    </row>
    <row r="847" spans="2:6" ht="12.6" customHeight="1" x14ac:dyDescent="0.3">
      <c r="B847" s="78"/>
      <c r="C847" s="78"/>
      <c r="D847" s="78"/>
      <c r="E847" s="78"/>
      <c r="F847" s="78"/>
    </row>
    <row r="848" spans="2:6" ht="12.6" customHeight="1" x14ac:dyDescent="0.3">
      <c r="B848" s="78"/>
      <c r="C848" s="78"/>
      <c r="D848" s="78"/>
      <c r="E848" s="78"/>
      <c r="F848" s="78"/>
    </row>
    <row r="849" spans="2:6" ht="12.6" customHeight="1" x14ac:dyDescent="0.3">
      <c r="B849" s="78"/>
      <c r="C849" s="78"/>
      <c r="D849" s="78"/>
      <c r="E849" s="78"/>
      <c r="F849" s="78"/>
    </row>
    <row r="850" spans="2:6" ht="12.6" customHeight="1" x14ac:dyDescent="0.3">
      <c r="B850" s="78"/>
      <c r="C850" s="78"/>
      <c r="D850" s="78"/>
      <c r="E850" s="78"/>
      <c r="F850" s="78"/>
    </row>
    <row r="851" spans="2:6" ht="12.6" customHeight="1" x14ac:dyDescent="0.3">
      <c r="B851" s="78"/>
      <c r="C851" s="78"/>
      <c r="D851" s="78"/>
      <c r="E851" s="78"/>
      <c r="F851" s="78"/>
    </row>
    <row r="852" spans="2:6" ht="12.6" customHeight="1" x14ac:dyDescent="0.3">
      <c r="B852" s="78"/>
      <c r="C852" s="78"/>
      <c r="D852" s="78"/>
      <c r="E852" s="78"/>
      <c r="F852" s="78"/>
    </row>
    <row r="853" spans="2:6" ht="12.6" customHeight="1" x14ac:dyDescent="0.3">
      <c r="B853" s="78"/>
      <c r="C853" s="78"/>
      <c r="D853" s="78"/>
      <c r="E853" s="78"/>
      <c r="F853" s="78"/>
    </row>
    <row r="854" spans="2:6" ht="12.6" customHeight="1" x14ac:dyDescent="0.3">
      <c r="B854" s="78"/>
      <c r="C854" s="78"/>
      <c r="D854" s="78"/>
      <c r="E854" s="78"/>
      <c r="F854" s="78"/>
    </row>
    <row r="855" spans="2:6" ht="12.6" customHeight="1" x14ac:dyDescent="0.3">
      <c r="B855" s="78"/>
      <c r="C855" s="78"/>
      <c r="D855" s="78"/>
      <c r="E855" s="78"/>
      <c r="F855" s="78"/>
    </row>
    <row r="856" spans="2:6" ht="12.6" customHeight="1" x14ac:dyDescent="0.3">
      <c r="B856" s="78"/>
      <c r="C856" s="78"/>
      <c r="D856" s="78"/>
      <c r="E856" s="78"/>
      <c r="F856" s="78"/>
    </row>
    <row r="857" spans="2:6" ht="12.6" customHeight="1" x14ac:dyDescent="0.3">
      <c r="B857" s="78"/>
      <c r="C857" s="78"/>
      <c r="D857" s="78"/>
      <c r="E857" s="78"/>
      <c r="F857" s="78"/>
    </row>
    <row r="858" spans="2:6" ht="12.6" customHeight="1" x14ac:dyDescent="0.3">
      <c r="B858" s="78"/>
      <c r="C858" s="78"/>
      <c r="D858" s="78"/>
      <c r="E858" s="78"/>
      <c r="F858" s="78"/>
    </row>
    <row r="859" spans="2:6" ht="12.6" customHeight="1" x14ac:dyDescent="0.3">
      <c r="B859" s="78"/>
      <c r="C859" s="78"/>
      <c r="D859" s="78"/>
      <c r="E859" s="78"/>
      <c r="F859" s="78"/>
    </row>
    <row r="860" spans="2:6" ht="12.6" customHeight="1" x14ac:dyDescent="0.3">
      <c r="B860" s="78"/>
      <c r="C860" s="78"/>
      <c r="D860" s="78"/>
      <c r="E860" s="78"/>
      <c r="F860" s="78"/>
    </row>
    <row r="861" spans="2:6" ht="12.6" customHeight="1" x14ac:dyDescent="0.3">
      <c r="B861" s="78"/>
      <c r="C861" s="78"/>
      <c r="D861" s="78"/>
      <c r="E861" s="78"/>
      <c r="F861" s="78"/>
    </row>
    <row r="862" spans="2:6" ht="12.6" customHeight="1" x14ac:dyDescent="0.3">
      <c r="B862" s="78"/>
      <c r="C862" s="78"/>
      <c r="D862" s="78"/>
      <c r="E862" s="78"/>
      <c r="F862" s="78"/>
    </row>
    <row r="863" spans="2:6" ht="12.6" customHeight="1" x14ac:dyDescent="0.3">
      <c r="B863" s="78"/>
      <c r="C863" s="78"/>
      <c r="D863" s="78"/>
      <c r="E863" s="78"/>
      <c r="F863" s="78"/>
    </row>
    <row r="864" spans="2:6" ht="12.6" customHeight="1" x14ac:dyDescent="0.3">
      <c r="B864" s="78"/>
      <c r="C864" s="78"/>
      <c r="D864" s="78"/>
      <c r="E864" s="78"/>
      <c r="F864" s="78"/>
    </row>
    <row r="865" spans="2:6" ht="12.6" customHeight="1" x14ac:dyDescent="0.3">
      <c r="B865" s="78"/>
      <c r="C865" s="78"/>
      <c r="D865" s="78"/>
      <c r="E865" s="78"/>
      <c r="F865" s="78"/>
    </row>
    <row r="866" spans="2:6" ht="12.6" customHeight="1" x14ac:dyDescent="0.3">
      <c r="B866" s="78"/>
      <c r="C866" s="78"/>
      <c r="D866" s="78"/>
      <c r="E866" s="78"/>
      <c r="F866" s="78"/>
    </row>
    <row r="867" spans="2:6" ht="12.6" customHeight="1" x14ac:dyDescent="0.3">
      <c r="B867" s="78"/>
      <c r="C867" s="78"/>
      <c r="D867" s="78"/>
      <c r="E867" s="78"/>
      <c r="F867" s="78"/>
    </row>
    <row r="868" spans="2:6" ht="12.6" customHeight="1" x14ac:dyDescent="0.3">
      <c r="B868" s="78"/>
      <c r="C868" s="78"/>
      <c r="D868" s="78"/>
      <c r="E868" s="78"/>
      <c r="F868" s="78"/>
    </row>
    <row r="869" spans="2:6" ht="12.6" customHeight="1" x14ac:dyDescent="0.3">
      <c r="B869" s="78"/>
      <c r="C869" s="78"/>
      <c r="D869" s="78"/>
      <c r="E869" s="78"/>
      <c r="F869" s="78"/>
    </row>
    <row r="870" spans="2:6" ht="12.6" customHeight="1" x14ac:dyDescent="0.3">
      <c r="B870" s="78"/>
      <c r="C870" s="78"/>
      <c r="D870" s="78"/>
      <c r="E870" s="78"/>
      <c r="F870" s="78"/>
    </row>
    <row r="871" spans="2:6" ht="12.6" customHeight="1" x14ac:dyDescent="0.3">
      <c r="B871" s="78"/>
      <c r="C871" s="78"/>
      <c r="D871" s="78"/>
      <c r="E871" s="78"/>
      <c r="F871" s="78"/>
    </row>
    <row r="872" spans="2:6" ht="12.6" customHeight="1" x14ac:dyDescent="0.3">
      <c r="B872" s="78"/>
      <c r="C872" s="78"/>
      <c r="D872" s="78"/>
      <c r="E872" s="78"/>
      <c r="F872" s="78"/>
    </row>
    <row r="873" spans="2:6" ht="12.6" customHeight="1" x14ac:dyDescent="0.3">
      <c r="B873" s="78"/>
      <c r="C873" s="78"/>
      <c r="D873" s="78"/>
      <c r="E873" s="78"/>
      <c r="F873" s="78"/>
    </row>
    <row r="874" spans="2:6" ht="12.6" customHeight="1" x14ac:dyDescent="0.3">
      <c r="B874" s="78"/>
      <c r="C874" s="78"/>
      <c r="D874" s="78"/>
      <c r="E874" s="78"/>
      <c r="F874" s="78"/>
    </row>
    <row r="875" spans="2:6" ht="12.6" customHeight="1" x14ac:dyDescent="0.3">
      <c r="B875" s="78"/>
      <c r="C875" s="78"/>
      <c r="D875" s="78"/>
      <c r="E875" s="78"/>
      <c r="F875" s="78"/>
    </row>
    <row r="876" spans="2:6" ht="12.6" customHeight="1" x14ac:dyDescent="0.3">
      <c r="B876" s="78"/>
      <c r="C876" s="78"/>
      <c r="D876" s="78"/>
      <c r="E876" s="78"/>
      <c r="F876" s="78"/>
    </row>
    <row r="877" spans="2:6" ht="12.6" customHeight="1" x14ac:dyDescent="0.3">
      <c r="B877" s="78"/>
      <c r="C877" s="78"/>
      <c r="D877" s="78"/>
      <c r="E877" s="78"/>
      <c r="F877" s="78"/>
    </row>
    <row r="878" spans="2:6" ht="12.6" customHeight="1" x14ac:dyDescent="0.3">
      <c r="B878" s="78"/>
      <c r="C878" s="78"/>
      <c r="D878" s="78"/>
      <c r="E878" s="78"/>
      <c r="F878" s="78"/>
    </row>
    <row r="879" spans="2:6" ht="12.6" customHeight="1" x14ac:dyDescent="0.3">
      <c r="B879" s="78"/>
      <c r="C879" s="78"/>
      <c r="D879" s="78"/>
      <c r="E879" s="78"/>
      <c r="F879" s="78"/>
    </row>
    <row r="880" spans="2:6" ht="12.6" customHeight="1" x14ac:dyDescent="0.3">
      <c r="B880" s="78"/>
      <c r="C880" s="78"/>
      <c r="D880" s="78"/>
      <c r="E880" s="78"/>
      <c r="F880" s="78"/>
    </row>
    <row r="881" spans="2:6" ht="12.6" customHeight="1" x14ac:dyDescent="0.3">
      <c r="B881" s="78"/>
      <c r="C881" s="78"/>
      <c r="D881" s="78"/>
      <c r="E881" s="78"/>
      <c r="F881" s="78"/>
    </row>
    <row r="882" spans="2:6" ht="12.6" customHeight="1" x14ac:dyDescent="0.3">
      <c r="B882" s="78"/>
      <c r="C882" s="78"/>
      <c r="D882" s="78"/>
      <c r="E882" s="78"/>
      <c r="F882" s="78"/>
    </row>
    <row r="883" spans="2:6" ht="12.6" customHeight="1" x14ac:dyDescent="0.3">
      <c r="B883" s="78"/>
      <c r="C883" s="78"/>
      <c r="D883" s="78"/>
      <c r="E883" s="78"/>
      <c r="F883" s="78"/>
    </row>
    <row r="884" spans="2:6" ht="12.6" customHeight="1" x14ac:dyDescent="0.3">
      <c r="B884" s="78"/>
      <c r="C884" s="78"/>
      <c r="D884" s="78"/>
      <c r="E884" s="78"/>
      <c r="F884" s="78"/>
    </row>
    <row r="885" spans="2:6" ht="12.6" customHeight="1" x14ac:dyDescent="0.3">
      <c r="B885" s="78"/>
      <c r="C885" s="78"/>
      <c r="D885" s="78"/>
      <c r="E885" s="78"/>
      <c r="F885" s="78"/>
    </row>
    <row r="886" spans="2:6" ht="12.6" customHeight="1" x14ac:dyDescent="0.3">
      <c r="B886" s="78"/>
      <c r="C886" s="78"/>
      <c r="D886" s="78"/>
      <c r="E886" s="78"/>
      <c r="F886" s="78"/>
    </row>
    <row r="887" spans="2:6" ht="12.6" customHeight="1" x14ac:dyDescent="0.3">
      <c r="B887" s="78"/>
      <c r="C887" s="78"/>
      <c r="D887" s="78"/>
      <c r="E887" s="78"/>
      <c r="F887" s="78"/>
    </row>
    <row r="888" spans="2:6" ht="12.6" customHeight="1" x14ac:dyDescent="0.3">
      <c r="B888" s="78"/>
      <c r="C888" s="78"/>
      <c r="D888" s="78"/>
      <c r="E888" s="78"/>
      <c r="F888" s="78"/>
    </row>
    <row r="889" spans="2:6" ht="12.6" customHeight="1" x14ac:dyDescent="0.3">
      <c r="B889" s="78"/>
      <c r="C889" s="78"/>
      <c r="D889" s="78"/>
      <c r="E889" s="78"/>
      <c r="F889" s="78"/>
    </row>
    <row r="890" spans="2:6" ht="12.6" customHeight="1" x14ac:dyDescent="0.3">
      <c r="B890" s="78"/>
      <c r="C890" s="78"/>
      <c r="D890" s="78"/>
      <c r="E890" s="78"/>
      <c r="F890" s="78"/>
    </row>
    <row r="891" spans="2:6" ht="12.6" customHeight="1" x14ac:dyDescent="0.3">
      <c r="B891" s="78"/>
      <c r="C891" s="78"/>
      <c r="D891" s="78"/>
      <c r="E891" s="78"/>
      <c r="F891" s="78"/>
    </row>
    <row r="892" spans="2:6" ht="12.6" customHeight="1" x14ac:dyDescent="0.3">
      <c r="B892" s="78"/>
      <c r="C892" s="78"/>
      <c r="D892" s="78"/>
      <c r="E892" s="78"/>
      <c r="F892" s="78"/>
    </row>
    <row r="893" spans="2:6" ht="12.6" customHeight="1" x14ac:dyDescent="0.3">
      <c r="B893" s="78"/>
      <c r="C893" s="78"/>
      <c r="D893" s="78"/>
      <c r="E893" s="78"/>
      <c r="F893" s="78"/>
    </row>
    <row r="894" spans="2:6" ht="12.6" customHeight="1" x14ac:dyDescent="0.3">
      <c r="B894" s="78"/>
      <c r="C894" s="78"/>
      <c r="D894" s="78"/>
      <c r="E894" s="78"/>
      <c r="F894" s="78"/>
    </row>
    <row r="895" spans="2:6" ht="12.6" customHeight="1" x14ac:dyDescent="0.3">
      <c r="B895" s="78"/>
      <c r="C895" s="78"/>
      <c r="D895" s="78"/>
      <c r="E895" s="78"/>
      <c r="F895" s="78"/>
    </row>
    <row r="896" spans="2:6" ht="12.6" customHeight="1" x14ac:dyDescent="0.3">
      <c r="B896" s="78"/>
      <c r="C896" s="78"/>
      <c r="D896" s="78"/>
      <c r="E896" s="78"/>
      <c r="F896" s="78"/>
    </row>
    <row r="897" spans="2:6" ht="12.6" customHeight="1" x14ac:dyDescent="0.3">
      <c r="B897" s="78"/>
      <c r="C897" s="78"/>
      <c r="D897" s="78"/>
      <c r="E897" s="78"/>
      <c r="F897" s="78"/>
    </row>
    <row r="898" spans="2:6" ht="12.6" customHeight="1" x14ac:dyDescent="0.3">
      <c r="B898" s="78"/>
      <c r="C898" s="78"/>
      <c r="D898" s="78"/>
      <c r="E898" s="78"/>
      <c r="F898" s="78"/>
    </row>
    <row r="899" spans="2:6" ht="12.6" customHeight="1" x14ac:dyDescent="0.3">
      <c r="B899" s="78"/>
      <c r="C899" s="78"/>
      <c r="D899" s="78"/>
      <c r="E899" s="78"/>
      <c r="F899" s="78"/>
    </row>
    <row r="900" spans="2:6" ht="12.6" customHeight="1" x14ac:dyDescent="0.3">
      <c r="B900" s="78"/>
      <c r="C900" s="78"/>
      <c r="D900" s="78"/>
      <c r="E900" s="78"/>
      <c r="F900" s="78"/>
    </row>
    <row r="901" spans="2:6" ht="12.6" customHeight="1" x14ac:dyDescent="0.3">
      <c r="B901" s="78"/>
      <c r="C901" s="78"/>
      <c r="D901" s="78"/>
      <c r="E901" s="78"/>
      <c r="F901" s="78"/>
    </row>
    <row r="902" spans="2:6" ht="12.6" customHeight="1" x14ac:dyDescent="0.3">
      <c r="B902" s="78"/>
      <c r="C902" s="78"/>
      <c r="D902" s="78"/>
      <c r="E902" s="78"/>
      <c r="F902" s="78"/>
    </row>
    <row r="903" spans="2:6" ht="12.6" customHeight="1" x14ac:dyDescent="0.3">
      <c r="B903" s="78"/>
      <c r="C903" s="78"/>
      <c r="D903" s="78"/>
      <c r="E903" s="78"/>
      <c r="F903" s="78"/>
    </row>
    <row r="904" spans="2:6" ht="12.6" customHeight="1" x14ac:dyDescent="0.3">
      <c r="B904" s="78"/>
      <c r="C904" s="78"/>
      <c r="D904" s="78"/>
      <c r="E904" s="78"/>
      <c r="F904" s="78"/>
    </row>
    <row r="905" spans="2:6" ht="12.6" customHeight="1" x14ac:dyDescent="0.3">
      <c r="B905" s="78"/>
      <c r="C905" s="78"/>
      <c r="D905" s="78"/>
      <c r="E905" s="78"/>
      <c r="F905" s="78"/>
    </row>
    <row r="906" spans="2:6" ht="12.6" customHeight="1" x14ac:dyDescent="0.3">
      <c r="B906" s="78"/>
      <c r="C906" s="78"/>
      <c r="D906" s="78"/>
      <c r="E906" s="78"/>
      <c r="F906" s="78"/>
    </row>
    <row r="907" spans="2:6" ht="12.6" customHeight="1" x14ac:dyDescent="0.3">
      <c r="B907" s="78"/>
      <c r="C907" s="78"/>
      <c r="D907" s="78"/>
      <c r="E907" s="78"/>
      <c r="F907" s="78"/>
    </row>
    <row r="908" spans="2:6" ht="12.6" customHeight="1" x14ac:dyDescent="0.3">
      <c r="B908" s="78"/>
      <c r="C908" s="78"/>
      <c r="D908" s="78"/>
      <c r="E908" s="78"/>
      <c r="F908" s="78"/>
    </row>
    <row r="909" spans="2:6" ht="12.6" customHeight="1" x14ac:dyDescent="0.3">
      <c r="B909" s="78"/>
      <c r="C909" s="78"/>
      <c r="D909" s="78"/>
      <c r="E909" s="78"/>
      <c r="F909" s="78"/>
    </row>
    <row r="910" spans="2:6" ht="12.6" customHeight="1" x14ac:dyDescent="0.3">
      <c r="B910" s="78"/>
      <c r="C910" s="78"/>
      <c r="D910" s="78"/>
      <c r="E910" s="78"/>
      <c r="F910" s="78"/>
    </row>
    <row r="911" spans="2:6" ht="12.6" customHeight="1" x14ac:dyDescent="0.3">
      <c r="B911" s="78"/>
      <c r="C911" s="78"/>
      <c r="D911" s="78"/>
      <c r="E911" s="78"/>
      <c r="F911" s="78"/>
    </row>
    <row r="912" spans="2:6" ht="12.6" customHeight="1" x14ac:dyDescent="0.3">
      <c r="B912" s="78"/>
      <c r="C912" s="78"/>
      <c r="D912" s="78"/>
      <c r="E912" s="78"/>
      <c r="F912" s="78"/>
    </row>
    <row r="913" spans="2:6" ht="12.6" customHeight="1" x14ac:dyDescent="0.3">
      <c r="B913" s="78"/>
      <c r="C913" s="78"/>
      <c r="D913" s="78"/>
      <c r="E913" s="78"/>
      <c r="F913" s="78"/>
    </row>
    <row r="914" spans="2:6" ht="12.6" customHeight="1" x14ac:dyDescent="0.3">
      <c r="B914" s="78"/>
      <c r="C914" s="78"/>
      <c r="D914" s="78"/>
      <c r="E914" s="78"/>
      <c r="F914" s="78"/>
    </row>
  </sheetData>
  <phoneticPr fontId="0" type="noConversion"/>
  <printOptions gridLines="1"/>
  <pageMargins left="0.62" right="0.17" top="0.69" bottom="0.63" header="0.19" footer="0.18"/>
  <pageSetup orientation="landscape" r:id="rId1"/>
  <headerFooter alignWithMargins="0">
    <oddHeader xml:space="preserve">&amp;CJames Irwin Charter High School
2017-2018 Apr Budget Draft March 21, 2017
 </oddHeader>
    <oddFooter>&amp;L&amp;D&amp;T&amp;R&amp;P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8"/>
  <sheetViews>
    <sheetView workbookViewId="0">
      <pane xSplit="1" ySplit="5" topLeftCell="B88" activePane="bottomRight" state="frozen"/>
      <selection pane="topRight" activeCell="B1" sqref="B1"/>
      <selection pane="bottomLeft" activeCell="A5" sqref="A5"/>
      <selection pane="bottomRight" activeCell="B2" sqref="B2"/>
    </sheetView>
  </sheetViews>
  <sheetFormatPr defaultRowHeight="14.4" x14ac:dyDescent="0.3"/>
  <cols>
    <col min="1" max="1" width="37.109375" style="102" customWidth="1"/>
    <col min="2" max="2" width="15.6640625" style="102" customWidth="1"/>
    <col min="3" max="3" width="15.44140625" style="102" customWidth="1"/>
    <col min="4" max="4" width="15.6640625" style="102" customWidth="1"/>
    <col min="5" max="5" width="16.33203125" style="102" hidden="1" customWidth="1"/>
    <col min="6" max="6" width="23" customWidth="1"/>
  </cols>
  <sheetData>
    <row r="1" spans="1:6" x14ac:dyDescent="0.3">
      <c r="A1" s="71" t="s">
        <v>251</v>
      </c>
      <c r="B1" s="151">
        <v>285</v>
      </c>
      <c r="C1" s="151">
        <v>160</v>
      </c>
      <c r="D1" s="151">
        <v>159</v>
      </c>
      <c r="E1" s="151">
        <v>240</v>
      </c>
      <c r="F1" t="s">
        <v>452</v>
      </c>
    </row>
    <row r="2" spans="1:6" x14ac:dyDescent="0.3">
      <c r="A2" s="70" t="s">
        <v>252</v>
      </c>
      <c r="B2" s="48">
        <f>7075.6*1.02</f>
        <v>7217.1120000000001</v>
      </c>
      <c r="C2" s="48">
        <v>7075.6</v>
      </c>
      <c r="D2" s="48">
        <v>7223.54</v>
      </c>
      <c r="E2" s="48">
        <v>7356.01</v>
      </c>
      <c r="F2" t="s">
        <v>446</v>
      </c>
    </row>
    <row r="3" spans="1:6" x14ac:dyDescent="0.3">
      <c r="A3" s="48"/>
      <c r="B3" s="44">
        <v>250</v>
      </c>
      <c r="C3" s="44">
        <v>250</v>
      </c>
      <c r="D3" s="44">
        <v>250</v>
      </c>
      <c r="E3" s="44">
        <v>250</v>
      </c>
    </row>
    <row r="4" spans="1:6" x14ac:dyDescent="0.3">
      <c r="A4" s="48"/>
      <c r="B4" s="44"/>
      <c r="C4" s="44"/>
      <c r="D4" s="44"/>
      <c r="E4" s="44"/>
    </row>
    <row r="5" spans="1:6" ht="29.4" thickBot="1" x14ac:dyDescent="0.35">
      <c r="A5" s="49"/>
      <c r="B5" s="187" t="s">
        <v>444</v>
      </c>
      <c r="C5" s="187" t="s">
        <v>453</v>
      </c>
      <c r="D5" s="187" t="s">
        <v>423</v>
      </c>
      <c r="E5" s="187" t="s">
        <v>322</v>
      </c>
      <c r="F5" s="194" t="s">
        <v>319</v>
      </c>
    </row>
    <row r="6" spans="1:6" x14ac:dyDescent="0.3">
      <c r="A6" s="213" t="s">
        <v>16</v>
      </c>
      <c r="B6" s="215"/>
      <c r="C6" s="215"/>
      <c r="D6" s="215"/>
      <c r="E6" s="101"/>
    </row>
    <row r="7" spans="1:6" x14ac:dyDescent="0.3">
      <c r="A7" s="213" t="s">
        <v>26</v>
      </c>
      <c r="B7" s="215"/>
      <c r="C7" s="215"/>
      <c r="D7" s="215"/>
    </row>
    <row r="8" spans="1:6" x14ac:dyDescent="0.3">
      <c r="A8" s="102" t="s">
        <v>23</v>
      </c>
      <c r="B8" s="78">
        <v>50</v>
      </c>
      <c r="C8" s="78">
        <v>50</v>
      </c>
      <c r="D8" s="78"/>
      <c r="E8" s="78"/>
    </row>
    <row r="9" spans="1:6" x14ac:dyDescent="0.3">
      <c r="A9" s="102" t="s">
        <v>17</v>
      </c>
      <c r="B9" s="78">
        <v>23000</v>
      </c>
      <c r="C9" s="78">
        <v>21489</v>
      </c>
      <c r="D9" s="78">
        <v>25000</v>
      </c>
      <c r="E9" s="78"/>
    </row>
    <row r="10" spans="1:6" x14ac:dyDescent="0.3">
      <c r="A10" s="78" t="s">
        <v>433</v>
      </c>
      <c r="B10" s="58">
        <v>0</v>
      </c>
      <c r="C10" s="58"/>
      <c r="D10" s="58"/>
      <c r="E10" s="58"/>
    </row>
    <row r="11" spans="1:6" x14ac:dyDescent="0.3">
      <c r="A11" s="102" t="s">
        <v>22</v>
      </c>
      <c r="B11" s="79">
        <f>B1*B3</f>
        <v>71250</v>
      </c>
      <c r="C11" s="79">
        <v>40000</v>
      </c>
      <c r="D11" s="79">
        <f>D1*D3</f>
        <v>39750</v>
      </c>
      <c r="E11" s="79">
        <f>E1*E3</f>
        <v>60000</v>
      </c>
    </row>
    <row r="12" spans="1:6" x14ac:dyDescent="0.3">
      <c r="A12" s="102" t="s">
        <v>426</v>
      </c>
      <c r="B12" s="79">
        <v>0</v>
      </c>
      <c r="C12" s="79">
        <v>3750</v>
      </c>
      <c r="D12" s="79"/>
      <c r="E12" s="79"/>
      <c r="F12" t="s">
        <v>427</v>
      </c>
    </row>
    <row r="13" spans="1:6" x14ac:dyDescent="0.3">
      <c r="A13" s="102" t="s">
        <v>79</v>
      </c>
      <c r="B13" s="103">
        <f>B1*B2</f>
        <v>2056876.92</v>
      </c>
      <c r="C13" s="103">
        <v>1132096</v>
      </c>
      <c r="D13" s="103">
        <f>D1*D2</f>
        <v>1148542.8600000001</v>
      </c>
      <c r="E13" s="103">
        <f>E1*E2</f>
        <v>1765442.4000000001</v>
      </c>
      <c r="F13" s="64" t="e">
        <f>+#REF!-B13</f>
        <v>#REF!</v>
      </c>
    </row>
    <row r="14" spans="1:6" x14ac:dyDescent="0.3">
      <c r="A14" s="104" t="s">
        <v>27</v>
      </c>
      <c r="B14" s="104">
        <f>SUM(B8:B13)</f>
        <v>2151176.92</v>
      </c>
      <c r="C14" s="104">
        <f>SUM(C8:C13)</f>
        <v>1197385</v>
      </c>
      <c r="D14" s="104">
        <f>SUM(D8:D13)</f>
        <v>1213292.8600000001</v>
      </c>
      <c r="E14" s="104">
        <f>SUM(E8:E13)</f>
        <v>1825442.4000000001</v>
      </c>
    </row>
    <row r="15" spans="1:6" ht="12.75" customHeight="1" x14ac:dyDescent="0.3">
      <c r="A15" s="104" t="s">
        <v>431</v>
      </c>
      <c r="B15" s="104">
        <v>35000</v>
      </c>
      <c r="C15" s="104"/>
      <c r="D15" s="104"/>
      <c r="E15" s="104"/>
      <c r="F15" t="s">
        <v>432</v>
      </c>
    </row>
    <row r="16" spans="1:6" ht="12.75" customHeight="1" x14ac:dyDescent="0.3">
      <c r="A16" s="104" t="s">
        <v>354</v>
      </c>
      <c r="B16" s="104">
        <v>0</v>
      </c>
      <c r="C16" s="104">
        <v>340000</v>
      </c>
      <c r="D16" s="104">
        <v>390000</v>
      </c>
      <c r="E16" s="104"/>
    </row>
    <row r="17" spans="1:15" x14ac:dyDescent="0.3">
      <c r="A17" s="104" t="s">
        <v>308</v>
      </c>
      <c r="B17" s="106">
        <v>215000</v>
      </c>
      <c r="C17" s="106">
        <v>215000</v>
      </c>
      <c r="D17" s="106">
        <v>215000</v>
      </c>
      <c r="E17" s="106">
        <v>215000</v>
      </c>
    </row>
    <row r="18" spans="1:15" ht="10.5" customHeight="1" x14ac:dyDescent="0.3">
      <c r="A18" s="104"/>
      <c r="B18" s="104"/>
      <c r="C18" s="104"/>
      <c r="D18" s="104"/>
      <c r="E18" s="104"/>
    </row>
    <row r="19" spans="1:15" ht="15" thickBot="1" x14ac:dyDescent="0.35">
      <c r="A19" s="104" t="s">
        <v>49</v>
      </c>
      <c r="B19" s="108">
        <f>+B17+B14+B16+B15</f>
        <v>2401176.92</v>
      </c>
      <c r="C19" s="108">
        <f>+C17+C14+C16</f>
        <v>1752385</v>
      </c>
      <c r="D19" s="108">
        <f>+D17+D14+D16</f>
        <v>1818292.86</v>
      </c>
      <c r="E19" s="108">
        <f>+E17+E14</f>
        <v>2040442.4000000001</v>
      </c>
    </row>
    <row r="20" spans="1:15" ht="15" thickTop="1" x14ac:dyDescent="0.3"/>
    <row r="21" spans="1:15" x14ac:dyDescent="0.3">
      <c r="A21" s="213" t="s">
        <v>19</v>
      </c>
      <c r="B21" s="215"/>
      <c r="C21" s="215"/>
      <c r="D21" s="215"/>
      <c r="E21" s="101"/>
    </row>
    <row r="22" spans="1:15" ht="11.25" customHeight="1" x14ac:dyDescent="0.3">
      <c r="A22" s="2"/>
      <c r="B22" s="78"/>
      <c r="C22" s="78"/>
      <c r="D22" s="78"/>
      <c r="E22" s="78"/>
    </row>
    <row r="23" spans="1:15" x14ac:dyDescent="0.3">
      <c r="A23" s="213" t="s">
        <v>88</v>
      </c>
      <c r="B23" s="215"/>
      <c r="C23" s="215"/>
      <c r="D23" s="215"/>
      <c r="E23" s="101"/>
    </row>
    <row r="24" spans="1:15" x14ac:dyDescent="0.3">
      <c r="A24" s="75" t="s">
        <v>231</v>
      </c>
      <c r="B24" s="78">
        <v>584084</v>
      </c>
      <c r="C24" s="78">
        <v>290000</v>
      </c>
      <c r="D24" s="78">
        <v>340000</v>
      </c>
      <c r="E24" s="78">
        <v>515660</v>
      </c>
      <c r="F24" s="172" t="s">
        <v>15</v>
      </c>
      <c r="H24" s="197" t="s">
        <v>15</v>
      </c>
    </row>
    <row r="25" spans="1:15" x14ac:dyDescent="0.3">
      <c r="A25" s="75" t="s">
        <v>234</v>
      </c>
      <c r="B25" s="78" t="e">
        <f>'17-18 wo cmo'!#REF!</f>
        <v>#REF!</v>
      </c>
      <c r="C25" s="78">
        <v>7606</v>
      </c>
      <c r="D25" s="78">
        <v>7606</v>
      </c>
      <c r="E25" s="78">
        <v>5000</v>
      </c>
      <c r="G25" s="195"/>
      <c r="H25" s="195"/>
      <c r="I25" s="195"/>
      <c r="J25" s="195"/>
      <c r="K25" s="195"/>
      <c r="L25" s="195"/>
      <c r="M25" s="195"/>
      <c r="N25" s="195"/>
      <c r="O25" s="195"/>
    </row>
    <row r="26" spans="1:15" x14ac:dyDescent="0.3">
      <c r="A26" s="75" t="s">
        <v>122</v>
      </c>
      <c r="B26" s="78">
        <v>7600</v>
      </c>
      <c r="C26" s="78">
        <v>4205</v>
      </c>
      <c r="D26" s="78">
        <v>4930</v>
      </c>
      <c r="E26" s="78">
        <v>7550</v>
      </c>
    </row>
    <row r="27" spans="1:15" x14ac:dyDescent="0.3">
      <c r="A27" s="75" t="s">
        <v>232</v>
      </c>
      <c r="B27" s="78">
        <v>116500</v>
      </c>
      <c r="C27" s="78">
        <v>58000</v>
      </c>
      <c r="D27" s="78">
        <v>65960</v>
      </c>
      <c r="E27" s="78">
        <v>101008</v>
      </c>
    </row>
    <row r="28" spans="1:15" x14ac:dyDescent="0.3">
      <c r="A28" s="75" t="s">
        <v>189</v>
      </c>
      <c r="B28" s="103">
        <v>169500</v>
      </c>
      <c r="C28" s="103">
        <v>57000</v>
      </c>
      <c r="D28" s="103">
        <v>87114</v>
      </c>
      <c r="E28" s="103">
        <v>134551</v>
      </c>
    </row>
    <row r="29" spans="1:15" x14ac:dyDescent="0.3">
      <c r="A29" s="78" t="s">
        <v>245</v>
      </c>
      <c r="B29" s="78" t="e">
        <f>SUM(B24:B28)</f>
        <v>#REF!</v>
      </c>
      <c r="C29" s="78">
        <f>SUM(C24:C28)</f>
        <v>416811</v>
      </c>
      <c r="D29" s="78">
        <f>SUM(D24:D28)</f>
        <v>505610</v>
      </c>
      <c r="E29" s="78">
        <f>SUM(E24:E28)</f>
        <v>763769</v>
      </c>
    </row>
    <row r="30" spans="1:15" x14ac:dyDescent="0.3">
      <c r="A30" s="78" t="s">
        <v>82</v>
      </c>
      <c r="B30" s="82">
        <v>20000</v>
      </c>
      <c r="C30" s="82">
        <v>20000</v>
      </c>
      <c r="D30" s="82">
        <v>20000</v>
      </c>
      <c r="E30" s="82">
        <v>20000</v>
      </c>
    </row>
    <row r="31" spans="1:15" x14ac:dyDescent="0.3">
      <c r="A31" s="78" t="s">
        <v>316</v>
      </c>
      <c r="B31" s="82">
        <v>164000</v>
      </c>
      <c r="C31" s="82">
        <v>93544</v>
      </c>
      <c r="D31" s="82">
        <f>577*D1</f>
        <v>91743</v>
      </c>
      <c r="E31" s="82">
        <v>120000</v>
      </c>
      <c r="F31" s="247" t="s">
        <v>15</v>
      </c>
    </row>
    <row r="32" spans="1:15" x14ac:dyDescent="0.3">
      <c r="A32" s="78" t="s">
        <v>276</v>
      </c>
      <c r="B32" s="82">
        <v>25000</v>
      </c>
      <c r="C32" s="82">
        <v>25000</v>
      </c>
      <c r="D32" s="82">
        <v>25000</v>
      </c>
      <c r="E32" s="82">
        <v>0</v>
      </c>
    </row>
    <row r="33" spans="1:9" x14ac:dyDescent="0.3">
      <c r="A33" s="189" t="s">
        <v>309</v>
      </c>
      <c r="B33" s="81">
        <v>100000</v>
      </c>
      <c r="C33" s="81">
        <v>100000</v>
      </c>
      <c r="D33" s="81">
        <f>59467-6060</f>
        <v>53407</v>
      </c>
      <c r="E33" s="200">
        <f>59467-6060</f>
        <v>53407</v>
      </c>
    </row>
    <row r="34" spans="1:9" x14ac:dyDescent="0.3">
      <c r="A34" s="104" t="s">
        <v>31</v>
      </c>
      <c r="B34" s="105" t="e">
        <f>SUM(B29:B33)</f>
        <v>#REF!</v>
      </c>
      <c r="C34" s="105">
        <f>SUM(C29:C33)</f>
        <v>655355</v>
      </c>
      <c r="D34" s="105">
        <f>SUM(D29:D33)</f>
        <v>695760</v>
      </c>
      <c r="E34" s="105">
        <f>SUM(E29:E33)</f>
        <v>957176</v>
      </c>
      <c r="I34" s="172" t="s">
        <v>15</v>
      </c>
    </row>
    <row r="35" spans="1:9" ht="11.25" customHeight="1" x14ac:dyDescent="0.3">
      <c r="A35" s="2"/>
      <c r="B35" s="78"/>
      <c r="C35" s="78"/>
      <c r="D35" s="78"/>
      <c r="E35" s="78"/>
    </row>
    <row r="36" spans="1:9" x14ac:dyDescent="0.3">
      <c r="A36" s="213" t="s">
        <v>35</v>
      </c>
      <c r="B36" s="212"/>
      <c r="C36" s="212"/>
      <c r="D36" s="212"/>
      <c r="E36" s="109"/>
    </row>
    <row r="37" spans="1:9" x14ac:dyDescent="0.3">
      <c r="A37" s="78" t="s">
        <v>1</v>
      </c>
      <c r="B37" s="79">
        <v>45600</v>
      </c>
      <c r="C37" s="79">
        <v>19000</v>
      </c>
      <c r="D37" s="79">
        <v>19576</v>
      </c>
      <c r="E37" s="79">
        <v>10000</v>
      </c>
      <c r="F37" s="195"/>
    </row>
    <row r="38" spans="1:9" x14ac:dyDescent="0.3">
      <c r="A38" s="78" t="s">
        <v>122</v>
      </c>
      <c r="B38" s="79">
        <v>653</v>
      </c>
      <c r="C38" s="79">
        <v>367</v>
      </c>
      <c r="D38" s="79">
        <v>284</v>
      </c>
      <c r="E38" s="79">
        <v>218</v>
      </c>
      <c r="F38" s="195"/>
    </row>
    <row r="39" spans="1:9" x14ac:dyDescent="0.3">
      <c r="A39" s="78" t="s">
        <v>232</v>
      </c>
      <c r="B39" s="79">
        <v>9000</v>
      </c>
      <c r="C39" s="79">
        <v>3650</v>
      </c>
      <c r="D39" s="79">
        <v>3798</v>
      </c>
      <c r="E39" s="79">
        <v>2910</v>
      </c>
      <c r="F39" s="195"/>
    </row>
    <row r="40" spans="1:9" x14ac:dyDescent="0.3">
      <c r="A40" s="78" t="s">
        <v>189</v>
      </c>
      <c r="B40" s="79">
        <v>8462</v>
      </c>
      <c r="C40" s="79">
        <v>2500</v>
      </c>
      <c r="D40" s="79">
        <v>2136</v>
      </c>
      <c r="E40" s="79" t="e">
        <f>'17-18 wo cmo'!#REF!</f>
        <v>#REF!</v>
      </c>
      <c r="F40" s="195"/>
    </row>
    <row r="41" spans="1:9" x14ac:dyDescent="0.3">
      <c r="A41" s="78" t="s">
        <v>125</v>
      </c>
      <c r="B41" s="103">
        <v>5000</v>
      </c>
      <c r="C41" s="103">
        <v>5000</v>
      </c>
      <c r="D41" s="103">
        <v>5000</v>
      </c>
      <c r="E41" s="103">
        <v>5000</v>
      </c>
      <c r="F41" s="195"/>
    </row>
    <row r="42" spans="1:9" x14ac:dyDescent="0.3">
      <c r="A42" s="78" t="s">
        <v>245</v>
      </c>
      <c r="B42" s="78">
        <f>SUM(B37:B41)</f>
        <v>68715</v>
      </c>
      <c r="C42" s="78">
        <f>SUM(C37:C41)</f>
        <v>30517</v>
      </c>
      <c r="D42" s="78">
        <f>SUM(D37:D41)</f>
        <v>30794</v>
      </c>
      <c r="E42" s="78" t="e">
        <f>SUM(E37:E41)</f>
        <v>#REF!</v>
      </c>
      <c r="F42" s="195"/>
    </row>
    <row r="43" spans="1:9" ht="12.75" customHeight="1" x14ac:dyDescent="0.3">
      <c r="A43" s="78" t="s">
        <v>196</v>
      </c>
      <c r="B43" s="77">
        <v>0</v>
      </c>
      <c r="C43" s="77">
        <v>0</v>
      </c>
      <c r="D43" s="77">
        <v>0</v>
      </c>
      <c r="E43" s="77">
        <v>0</v>
      </c>
      <c r="F43" s="195"/>
    </row>
    <row r="44" spans="1:9" x14ac:dyDescent="0.3">
      <c r="A44" s="78" t="s">
        <v>315</v>
      </c>
      <c r="B44" s="81">
        <v>5000</v>
      </c>
      <c r="C44" s="81">
        <v>5000</v>
      </c>
      <c r="D44" s="81">
        <v>5000</v>
      </c>
      <c r="E44" s="81">
        <v>5000</v>
      </c>
      <c r="F44" s="195"/>
    </row>
    <row r="45" spans="1:9" x14ac:dyDescent="0.3">
      <c r="A45" s="2" t="s">
        <v>36</v>
      </c>
      <c r="B45" s="110">
        <f>SUM(B42:B44)</f>
        <v>73715</v>
      </c>
      <c r="C45" s="110">
        <f>SUM(C42:C44)</f>
        <v>35517</v>
      </c>
      <c r="D45" s="110">
        <f>SUM(D42:D44)</f>
        <v>35794</v>
      </c>
      <c r="E45" s="110" t="e">
        <f>SUM(E42:E44)</f>
        <v>#REF!</v>
      </c>
    </row>
    <row r="46" spans="1:9" ht="11.25" customHeight="1" x14ac:dyDescent="0.3">
      <c r="A46" s="2"/>
      <c r="B46" s="78"/>
      <c r="C46" s="78"/>
      <c r="D46" s="78"/>
      <c r="E46" s="78"/>
    </row>
    <row r="47" spans="1:9" x14ac:dyDescent="0.3">
      <c r="A47" s="213" t="s">
        <v>37</v>
      </c>
      <c r="B47" s="212"/>
      <c r="C47" s="212"/>
      <c r="D47" s="212"/>
      <c r="E47" s="109"/>
    </row>
    <row r="48" spans="1:9" x14ac:dyDescent="0.3">
      <c r="A48" s="78" t="s">
        <v>1</v>
      </c>
      <c r="B48" s="79" t="e">
        <f>'17-18 wo cmo'!#REF!</f>
        <v>#REF!</v>
      </c>
      <c r="C48" s="79">
        <f>'17-18 wo cmo'!F26</f>
        <v>0</v>
      </c>
      <c r="D48" s="79" t="e">
        <f>'17-18 wo cmo'!#REF!</f>
        <v>#REF!</v>
      </c>
      <c r="E48" s="79" t="e">
        <f>'17-18 wo cmo'!#REF!</f>
        <v>#REF!</v>
      </c>
      <c r="F48" s="195"/>
    </row>
    <row r="49" spans="1:6" x14ac:dyDescent="0.3">
      <c r="A49" s="78" t="s">
        <v>122</v>
      </c>
      <c r="B49" s="79" t="e">
        <f>'17-18 wo cmo'!#REF!</f>
        <v>#REF!</v>
      </c>
      <c r="C49" s="79">
        <f>'17-18 wo cmo'!F28</f>
        <v>0</v>
      </c>
      <c r="D49" s="79" t="e">
        <f>'17-18 wo cmo'!#REF!</f>
        <v>#REF!</v>
      </c>
      <c r="E49" s="79" t="e">
        <f>'17-18 wo cmo'!#REF!</f>
        <v>#REF!</v>
      </c>
      <c r="F49" s="195"/>
    </row>
    <row r="50" spans="1:6" x14ac:dyDescent="0.3">
      <c r="A50" s="78" t="s">
        <v>232</v>
      </c>
      <c r="B50" s="79" t="e">
        <f>'17-18 wo cmo'!#REF!</f>
        <v>#REF!</v>
      </c>
      <c r="C50" s="79">
        <f>'17-18 wo cmo'!F29</f>
        <v>0</v>
      </c>
      <c r="D50" s="79" t="e">
        <f>'17-18 wo cmo'!#REF!</f>
        <v>#REF!</v>
      </c>
      <c r="E50" s="79" t="e">
        <f>'17-18 wo cmo'!#REF!</f>
        <v>#REF!</v>
      </c>
      <c r="F50" s="195"/>
    </row>
    <row r="51" spans="1:6" x14ac:dyDescent="0.3">
      <c r="A51" s="78" t="s">
        <v>189</v>
      </c>
      <c r="B51" s="103" t="e">
        <f>'17-18 wo cmo'!#REF!</f>
        <v>#REF!</v>
      </c>
      <c r="C51" s="103">
        <f>'17-18 wo cmo'!F29</f>
        <v>0</v>
      </c>
      <c r="D51" s="103" t="e">
        <f>'17-18 wo cmo'!#REF!</f>
        <v>#REF!</v>
      </c>
      <c r="E51" s="103" t="e">
        <f>'17-18 wo cmo'!#REF!</f>
        <v>#REF!</v>
      </c>
      <c r="F51" s="195"/>
    </row>
    <row r="52" spans="1:6" x14ac:dyDescent="0.3">
      <c r="A52" s="78" t="s">
        <v>245</v>
      </c>
      <c r="B52" s="82" t="e">
        <f>SUM(B48:B51)</f>
        <v>#REF!</v>
      </c>
      <c r="C52" s="82">
        <f>SUM(C48:C51)</f>
        <v>0</v>
      </c>
      <c r="D52" s="82" t="e">
        <f>SUM(D48:D51)</f>
        <v>#REF!</v>
      </c>
      <c r="E52" s="82" t="e">
        <f>SUM(E48:E51)</f>
        <v>#REF!</v>
      </c>
      <c r="F52" s="195"/>
    </row>
    <row r="53" spans="1:6" x14ac:dyDescent="0.3">
      <c r="A53" s="191" t="s">
        <v>310</v>
      </c>
      <c r="B53" s="235">
        <f>6060+400</f>
        <v>6460</v>
      </c>
      <c r="C53" s="235">
        <f>6060+400</f>
        <v>6460</v>
      </c>
      <c r="D53" s="235">
        <f>6060+400</f>
        <v>6460</v>
      </c>
      <c r="E53" s="191">
        <f>6060+400</f>
        <v>6460</v>
      </c>
      <c r="F53" s="195"/>
    </row>
    <row r="54" spans="1:6" s="172" customFormat="1" x14ac:dyDescent="0.3">
      <c r="A54" s="82" t="s">
        <v>349</v>
      </c>
      <c r="B54" s="82">
        <v>3000</v>
      </c>
      <c r="C54" s="82">
        <v>1302</v>
      </c>
      <c r="D54" s="82">
        <v>500</v>
      </c>
      <c r="E54" s="110"/>
      <c r="F54" s="197"/>
    </row>
    <row r="55" spans="1:6" x14ac:dyDescent="0.3">
      <c r="A55" s="78" t="s">
        <v>38</v>
      </c>
      <c r="B55" s="81">
        <v>10000</v>
      </c>
      <c r="C55" s="81">
        <v>5000</v>
      </c>
      <c r="D55" s="81">
        <v>5000</v>
      </c>
      <c r="E55" s="81">
        <v>5000</v>
      </c>
      <c r="F55" s="195"/>
    </row>
    <row r="56" spans="1:6" ht="18.75" customHeight="1" x14ac:dyDescent="0.3">
      <c r="A56" s="2" t="s">
        <v>56</v>
      </c>
      <c r="B56" s="110" t="e">
        <f>SUM(B52:B55)</f>
        <v>#REF!</v>
      </c>
      <c r="C56" s="110">
        <f>SUM(C52:C55)</f>
        <v>12762</v>
      </c>
      <c r="D56" s="110" t="e">
        <f>SUM(D52:D55)</f>
        <v>#REF!</v>
      </c>
      <c r="E56" s="110" t="e">
        <f>SUM(E52:E55)</f>
        <v>#REF!</v>
      </c>
    </row>
    <row r="57" spans="1:6" ht="11.25" customHeight="1" x14ac:dyDescent="0.3">
      <c r="A57" s="2"/>
      <c r="B57" s="78"/>
      <c r="C57" s="78"/>
      <c r="D57" s="78"/>
      <c r="E57" s="78"/>
    </row>
    <row r="58" spans="1:6" ht="15.75" customHeight="1" x14ac:dyDescent="0.3">
      <c r="A58" s="213" t="s">
        <v>40</v>
      </c>
      <c r="B58" s="212"/>
      <c r="C58" s="212"/>
      <c r="D58" s="212"/>
      <c r="E58" s="109"/>
    </row>
    <row r="59" spans="1:6" x14ac:dyDescent="0.3">
      <c r="A59" s="78" t="s">
        <v>164</v>
      </c>
      <c r="B59" s="64">
        <v>43596</v>
      </c>
      <c r="C59" s="64">
        <v>41295</v>
      </c>
      <c r="D59" s="64">
        <v>41295</v>
      </c>
      <c r="E59" s="64">
        <v>43186</v>
      </c>
    </row>
    <row r="60" spans="1:6" x14ac:dyDescent="0.3">
      <c r="A60" s="78" t="s">
        <v>101</v>
      </c>
      <c r="B60" s="64">
        <v>106406</v>
      </c>
      <c r="C60" s="64">
        <v>58605</v>
      </c>
      <c r="D60" s="64">
        <v>59415</v>
      </c>
      <c r="E60" s="64">
        <v>91272</v>
      </c>
    </row>
    <row r="61" spans="1:6" x14ac:dyDescent="0.3">
      <c r="A61" s="78" t="s">
        <v>4</v>
      </c>
      <c r="B61" s="64">
        <v>0</v>
      </c>
      <c r="C61" s="64">
        <v>0</v>
      </c>
      <c r="D61" s="64">
        <v>0</v>
      </c>
      <c r="E61" s="64">
        <v>3000</v>
      </c>
    </row>
    <row r="62" spans="1:6" x14ac:dyDescent="0.3">
      <c r="A62" s="78" t="s">
        <v>414</v>
      </c>
      <c r="B62" s="64">
        <v>5000</v>
      </c>
      <c r="C62" s="64">
        <v>2000</v>
      </c>
      <c r="D62" s="64"/>
      <c r="E62" s="64"/>
    </row>
    <row r="63" spans="1:6" x14ac:dyDescent="0.3">
      <c r="A63" s="189" t="s">
        <v>338</v>
      </c>
      <c r="B63" s="76">
        <v>4000</v>
      </c>
      <c r="C63" s="76">
        <v>4000</v>
      </c>
      <c r="D63" s="76">
        <v>4000</v>
      </c>
      <c r="E63" s="76">
        <v>0</v>
      </c>
    </row>
    <row r="64" spans="1:6" x14ac:dyDescent="0.3">
      <c r="A64" s="78" t="s">
        <v>378</v>
      </c>
      <c r="B64" s="82">
        <v>0</v>
      </c>
      <c r="C64" s="82">
        <v>2700</v>
      </c>
      <c r="D64" s="82"/>
      <c r="E64" s="82"/>
      <c r="F64" s="172" t="s">
        <v>415</v>
      </c>
    </row>
    <row r="65" spans="1:6" x14ac:dyDescent="0.3">
      <c r="A65" s="78" t="s">
        <v>333</v>
      </c>
      <c r="B65" s="150">
        <v>42500</v>
      </c>
      <c r="C65" s="150">
        <v>23808</v>
      </c>
      <c r="D65" s="150">
        <f>146.4*D1</f>
        <v>23277.600000000002</v>
      </c>
      <c r="E65" s="150">
        <v>0</v>
      </c>
    </row>
    <row r="66" spans="1:6" x14ac:dyDescent="0.3">
      <c r="A66" s="2" t="s">
        <v>41</v>
      </c>
      <c r="B66" s="110">
        <f>SUM(B59:B65)</f>
        <v>201502</v>
      </c>
      <c r="C66" s="110">
        <f>SUM(C59:C65)</f>
        <v>132408</v>
      </c>
      <c r="D66" s="110">
        <f>SUM(D59:D65)</f>
        <v>127987.6</v>
      </c>
      <c r="E66" s="110">
        <f>SUM(E59:E65)</f>
        <v>137458</v>
      </c>
    </row>
    <row r="67" spans="1:6" ht="11.25" customHeight="1" x14ac:dyDescent="0.3">
      <c r="A67" s="2"/>
      <c r="B67" s="78"/>
      <c r="C67" s="78"/>
      <c r="D67" s="78"/>
      <c r="E67" s="78"/>
    </row>
    <row r="68" spans="1:6" x14ac:dyDescent="0.3">
      <c r="A68" s="213" t="s">
        <v>20</v>
      </c>
      <c r="B68" s="215"/>
      <c r="C68" s="215"/>
      <c r="D68" s="215"/>
      <c r="E68" s="101"/>
    </row>
    <row r="69" spans="1:6" x14ac:dyDescent="0.3">
      <c r="A69" s="78" t="s">
        <v>1</v>
      </c>
      <c r="B69" s="78">
        <v>153320</v>
      </c>
      <c r="C69" s="78">
        <v>122700</v>
      </c>
      <c r="D69" s="78">
        <v>122700</v>
      </c>
      <c r="E69" s="78">
        <v>138270</v>
      </c>
      <c r="F69" s="195"/>
    </row>
    <row r="70" spans="1:6" x14ac:dyDescent="0.3">
      <c r="A70" s="78" t="s">
        <v>122</v>
      </c>
      <c r="B70" s="78">
        <v>2250</v>
      </c>
      <c r="C70" s="78">
        <v>1750</v>
      </c>
      <c r="D70" s="78">
        <v>1889</v>
      </c>
      <c r="E70" s="78">
        <v>1900</v>
      </c>
      <c r="F70" s="195"/>
    </row>
    <row r="71" spans="1:6" x14ac:dyDescent="0.3">
      <c r="A71" s="78" t="s">
        <v>232</v>
      </c>
      <c r="B71" s="78">
        <v>30500</v>
      </c>
      <c r="C71" s="78">
        <v>24000</v>
      </c>
      <c r="D71" s="78">
        <v>25279</v>
      </c>
      <c r="E71" s="78">
        <v>25000</v>
      </c>
      <c r="F71" s="195"/>
    </row>
    <row r="72" spans="1:6" x14ac:dyDescent="0.3">
      <c r="A72" s="78" t="s">
        <v>189</v>
      </c>
      <c r="B72" s="79">
        <v>32250</v>
      </c>
      <c r="C72" s="79">
        <v>19800</v>
      </c>
      <c r="D72" s="79">
        <v>21000</v>
      </c>
      <c r="E72" s="79">
        <v>22425</v>
      </c>
      <c r="F72" s="195"/>
    </row>
    <row r="73" spans="1:6" x14ac:dyDescent="0.3">
      <c r="A73" s="78" t="s">
        <v>271</v>
      </c>
      <c r="B73" s="103">
        <v>7500</v>
      </c>
      <c r="C73" s="103">
        <v>5000</v>
      </c>
      <c r="D73" s="103">
        <v>5000</v>
      </c>
      <c r="E73" s="103">
        <v>5000</v>
      </c>
      <c r="F73" s="195"/>
    </row>
    <row r="74" spans="1:6" x14ac:dyDescent="0.3">
      <c r="A74" s="78" t="s">
        <v>282</v>
      </c>
      <c r="B74" s="78">
        <f>SUM(B69:B73)</f>
        <v>225820</v>
      </c>
      <c r="C74" s="78">
        <f>SUM(C69:C73)</f>
        <v>173250</v>
      </c>
      <c r="D74" s="78">
        <f>SUM(D69:D73)</f>
        <v>175868</v>
      </c>
      <c r="E74" s="78">
        <f>SUM(E69:E73)</f>
        <v>192595</v>
      </c>
      <c r="F74" s="195"/>
    </row>
    <row r="75" spans="1:6" x14ac:dyDescent="0.3">
      <c r="A75" s="78" t="s">
        <v>350</v>
      </c>
      <c r="B75" s="78">
        <v>2000</v>
      </c>
      <c r="C75" s="78">
        <v>3000</v>
      </c>
      <c r="D75" s="78">
        <v>354</v>
      </c>
      <c r="E75" s="78"/>
      <c r="F75" s="195"/>
    </row>
    <row r="76" spans="1:6" x14ac:dyDescent="0.3">
      <c r="A76" s="78" t="s">
        <v>351</v>
      </c>
      <c r="B76" s="78">
        <v>500</v>
      </c>
      <c r="C76" s="78">
        <v>1000</v>
      </c>
      <c r="D76" s="78">
        <v>1000</v>
      </c>
      <c r="E76" s="78"/>
      <c r="F76" s="195"/>
    </row>
    <row r="77" spans="1:6" x14ac:dyDescent="0.3">
      <c r="A77" s="78" t="s">
        <v>43</v>
      </c>
      <c r="B77" s="78">
        <v>3000</v>
      </c>
      <c r="C77" s="78">
        <v>2000</v>
      </c>
      <c r="D77" s="78">
        <v>1000</v>
      </c>
      <c r="E77" s="78">
        <v>0</v>
      </c>
      <c r="F77" s="195"/>
    </row>
    <row r="78" spans="1:6" x14ac:dyDescent="0.3">
      <c r="A78" s="189" t="s">
        <v>311</v>
      </c>
      <c r="B78" s="103">
        <v>4954</v>
      </c>
      <c r="C78" s="103">
        <v>4954</v>
      </c>
      <c r="D78" s="103">
        <v>4954</v>
      </c>
      <c r="E78" s="199">
        <v>4954</v>
      </c>
      <c r="F78" s="195"/>
    </row>
    <row r="79" spans="1:6" x14ac:dyDescent="0.3">
      <c r="A79" s="2" t="s">
        <v>21</v>
      </c>
      <c r="B79" s="2">
        <f>SUM(B74:B78)</f>
        <v>236274</v>
      </c>
      <c r="C79" s="2">
        <f>SUM(C74:C78)</f>
        <v>184204</v>
      </c>
      <c r="D79" s="2">
        <f>SUM(D74:D78)</f>
        <v>183176</v>
      </c>
      <c r="E79" s="2">
        <f>SUM(E74:E78)</f>
        <v>197549</v>
      </c>
    </row>
    <row r="80" spans="1:6" ht="11.25" customHeight="1" x14ac:dyDescent="0.3">
      <c r="A80" s="2"/>
      <c r="B80" s="78"/>
      <c r="C80" s="78"/>
      <c r="D80" s="78"/>
      <c r="E80" s="78"/>
    </row>
    <row r="81" spans="1:6" x14ac:dyDescent="0.3">
      <c r="A81" s="213" t="s">
        <v>51</v>
      </c>
      <c r="B81" s="215"/>
      <c r="C81" s="215"/>
      <c r="D81" s="215"/>
      <c r="E81" s="101"/>
    </row>
    <row r="82" spans="1:6" x14ac:dyDescent="0.3">
      <c r="A82" s="78" t="s">
        <v>51</v>
      </c>
      <c r="B82" s="78">
        <v>38142</v>
      </c>
      <c r="C82" s="78">
        <v>35694</v>
      </c>
      <c r="D82" s="78">
        <v>35694</v>
      </c>
      <c r="E82" s="78">
        <v>34542</v>
      </c>
      <c r="F82" s="195"/>
    </row>
    <row r="83" spans="1:6" x14ac:dyDescent="0.3">
      <c r="A83" s="102" t="s">
        <v>0</v>
      </c>
      <c r="B83" s="78">
        <v>500</v>
      </c>
      <c r="C83" s="78">
        <v>500</v>
      </c>
      <c r="D83" s="78">
        <v>600</v>
      </c>
      <c r="E83" s="78">
        <v>600</v>
      </c>
      <c r="F83" s="195"/>
    </row>
    <row r="84" spans="1:6" x14ac:dyDescent="0.3">
      <c r="A84" s="111" t="s">
        <v>7</v>
      </c>
      <c r="B84" s="79">
        <v>0</v>
      </c>
      <c r="C84" s="79">
        <v>0</v>
      </c>
      <c r="D84" s="79">
        <v>200</v>
      </c>
      <c r="E84" s="79">
        <v>1000</v>
      </c>
      <c r="F84" s="195"/>
    </row>
    <row r="85" spans="1:6" x14ac:dyDescent="0.3">
      <c r="A85" s="111" t="s">
        <v>352</v>
      </c>
      <c r="B85" s="79">
        <v>500</v>
      </c>
      <c r="C85" s="79">
        <v>1000</v>
      </c>
      <c r="D85" s="79">
        <v>1000</v>
      </c>
      <c r="E85" s="79"/>
      <c r="F85" s="195"/>
    </row>
    <row r="86" spans="1:6" x14ac:dyDescent="0.3">
      <c r="A86" s="102" t="s">
        <v>44</v>
      </c>
      <c r="B86" s="103">
        <v>1500</v>
      </c>
      <c r="C86" s="103">
        <v>1500</v>
      </c>
      <c r="D86" s="103">
        <v>2600</v>
      </c>
      <c r="E86" s="103">
        <v>2600</v>
      </c>
      <c r="F86" s="195"/>
    </row>
    <row r="87" spans="1:6" x14ac:dyDescent="0.3">
      <c r="A87" s="104" t="s">
        <v>32</v>
      </c>
      <c r="B87" s="2">
        <f>SUM(B82:B86)</f>
        <v>40642</v>
      </c>
      <c r="C87" s="2">
        <f>SUM(C82:C86)</f>
        <v>38694</v>
      </c>
      <c r="D87" s="2">
        <f>SUM(D82:D86)</f>
        <v>40094</v>
      </c>
      <c r="E87" s="2">
        <f>SUM(E82:E86)</f>
        <v>38742</v>
      </c>
    </row>
    <row r="88" spans="1:6" ht="11.25" customHeight="1" x14ac:dyDescent="0.3">
      <c r="A88" s="2"/>
      <c r="B88" s="78"/>
      <c r="C88" s="78"/>
      <c r="D88" s="78"/>
      <c r="E88" s="78"/>
    </row>
    <row r="89" spans="1:6" x14ac:dyDescent="0.3">
      <c r="A89" s="213" t="s">
        <v>52</v>
      </c>
      <c r="B89" s="215"/>
      <c r="C89" s="215"/>
      <c r="D89" s="215"/>
      <c r="E89" s="101"/>
    </row>
    <row r="90" spans="1:6" x14ac:dyDescent="0.3">
      <c r="A90" s="78" t="s">
        <v>293</v>
      </c>
      <c r="B90" s="64">
        <v>35859</v>
      </c>
      <c r="C90" s="64">
        <v>34191</v>
      </c>
      <c r="D90" s="64">
        <v>34191</v>
      </c>
      <c r="E90" s="64">
        <v>27241</v>
      </c>
    </row>
    <row r="91" spans="1:6" x14ac:dyDescent="0.3">
      <c r="A91" s="78" t="s">
        <v>154</v>
      </c>
      <c r="B91" s="64">
        <v>38000</v>
      </c>
      <c r="C91" s="64">
        <v>38000</v>
      </c>
      <c r="D91" s="64">
        <v>38000</v>
      </c>
      <c r="E91" s="64">
        <v>38000</v>
      </c>
    </row>
    <row r="92" spans="1:6" x14ac:dyDescent="0.3">
      <c r="A92" s="79" t="s">
        <v>10</v>
      </c>
      <c r="B92" s="79">
        <f>5000+1500</f>
        <v>6500</v>
      </c>
      <c r="C92" s="79">
        <v>6500</v>
      </c>
      <c r="D92" s="79">
        <v>4000</v>
      </c>
      <c r="E92" s="79">
        <v>4000</v>
      </c>
    </row>
    <row r="93" spans="1:6" x14ac:dyDescent="0.3">
      <c r="A93" s="78" t="s">
        <v>8</v>
      </c>
      <c r="B93" s="78">
        <v>4000</v>
      </c>
      <c r="C93" s="78">
        <v>4000</v>
      </c>
      <c r="D93" s="78">
        <v>5000</v>
      </c>
      <c r="E93" s="78">
        <v>5000</v>
      </c>
    </row>
    <row r="94" spans="1:6" x14ac:dyDescent="0.3">
      <c r="A94" s="78" t="s">
        <v>46</v>
      </c>
      <c r="B94" s="78">
        <v>5000</v>
      </c>
      <c r="C94" s="78">
        <v>5000</v>
      </c>
      <c r="D94" s="78">
        <v>5000</v>
      </c>
      <c r="E94" s="78">
        <v>5000</v>
      </c>
    </row>
    <row r="95" spans="1:6" x14ac:dyDescent="0.3">
      <c r="A95" s="78" t="s">
        <v>66</v>
      </c>
      <c r="B95" s="79">
        <v>8000</v>
      </c>
      <c r="C95" s="79">
        <v>8000</v>
      </c>
      <c r="D95" s="79">
        <v>8000</v>
      </c>
      <c r="E95" s="79">
        <v>8000</v>
      </c>
    </row>
    <row r="96" spans="1:6" x14ac:dyDescent="0.3">
      <c r="A96" s="78" t="s">
        <v>65</v>
      </c>
      <c r="B96" s="79">
        <v>3000</v>
      </c>
      <c r="C96" s="79">
        <v>10000</v>
      </c>
      <c r="D96" s="79">
        <v>10000</v>
      </c>
      <c r="E96" s="79">
        <v>10000</v>
      </c>
    </row>
    <row r="97" spans="1:6" x14ac:dyDescent="0.3">
      <c r="A97" s="78" t="s">
        <v>9</v>
      </c>
      <c r="B97" s="103">
        <v>60000</v>
      </c>
      <c r="C97" s="103">
        <v>65000</v>
      </c>
      <c r="D97" s="103">
        <v>75000</v>
      </c>
      <c r="E97" s="103">
        <v>85000</v>
      </c>
    </row>
    <row r="98" spans="1:6" x14ac:dyDescent="0.3">
      <c r="A98" s="2" t="s">
        <v>33</v>
      </c>
      <c r="B98" s="2">
        <f>SUM(B90:B97)</f>
        <v>160359</v>
      </c>
      <c r="C98" s="2">
        <f>SUM(C90:C97)</f>
        <v>170691</v>
      </c>
      <c r="D98" s="2">
        <f>SUM(D90:D97)</f>
        <v>179191</v>
      </c>
      <c r="E98" s="2">
        <f>SUM(E90:E97)</f>
        <v>182241</v>
      </c>
    </row>
    <row r="99" spans="1:6" ht="11.25" customHeight="1" x14ac:dyDescent="0.3">
      <c r="A99" s="2"/>
      <c r="B99" s="78"/>
      <c r="C99" s="78"/>
      <c r="D99" s="78"/>
      <c r="E99" s="78"/>
    </row>
    <row r="100" spans="1:6" x14ac:dyDescent="0.3">
      <c r="A100" s="213" t="s">
        <v>53</v>
      </c>
      <c r="B100" s="215"/>
      <c r="C100" s="215"/>
      <c r="D100" s="215"/>
      <c r="E100" s="101"/>
    </row>
    <row r="101" spans="1:6" x14ac:dyDescent="0.3">
      <c r="A101" s="78" t="s">
        <v>173</v>
      </c>
      <c r="B101" s="78">
        <v>44280</v>
      </c>
      <c r="C101" s="78">
        <v>35000</v>
      </c>
      <c r="D101" s="78">
        <v>44280</v>
      </c>
      <c r="E101" s="78">
        <v>44280</v>
      </c>
      <c r="F101" t="s">
        <v>412</v>
      </c>
    </row>
    <row r="102" spans="1:6" x14ac:dyDescent="0.3">
      <c r="A102" s="189" t="s">
        <v>312</v>
      </c>
      <c r="B102" s="78">
        <v>87692</v>
      </c>
      <c r="C102" s="78">
        <v>87692</v>
      </c>
      <c r="D102" s="78">
        <v>87692</v>
      </c>
      <c r="E102" s="189">
        <v>80898</v>
      </c>
    </row>
    <row r="103" spans="1:6" x14ac:dyDescent="0.3">
      <c r="A103" s="189" t="s">
        <v>313</v>
      </c>
      <c r="B103" s="78">
        <f>58487-46593</f>
        <v>11894</v>
      </c>
      <c r="C103" s="78">
        <v>11894</v>
      </c>
      <c r="D103" s="78">
        <v>58487</v>
      </c>
      <c r="E103" s="189">
        <v>65281</v>
      </c>
    </row>
    <row r="104" spans="1:6" x14ac:dyDescent="0.3">
      <c r="A104" s="78" t="s">
        <v>324</v>
      </c>
      <c r="B104" s="78">
        <v>5000</v>
      </c>
      <c r="C104" s="78">
        <v>2500</v>
      </c>
      <c r="D104" s="78">
        <v>2500</v>
      </c>
      <c r="E104" s="189"/>
    </row>
    <row r="105" spans="1:6" x14ac:dyDescent="0.3">
      <c r="A105" s="78" t="s">
        <v>47</v>
      </c>
      <c r="B105" s="79">
        <v>8000</v>
      </c>
      <c r="C105" s="79">
        <f>15000-1426-6000</f>
        <v>7574</v>
      </c>
      <c r="D105" s="79">
        <f>15000-1426-6000</f>
        <v>7574</v>
      </c>
      <c r="E105" s="79">
        <v>15000</v>
      </c>
    </row>
    <row r="106" spans="1:6" x14ac:dyDescent="0.3">
      <c r="A106" s="78" t="s">
        <v>11</v>
      </c>
      <c r="B106" s="103">
        <v>15000</v>
      </c>
      <c r="C106" s="103">
        <v>17900</v>
      </c>
      <c r="D106" s="103">
        <v>17900</v>
      </c>
      <c r="E106" s="103">
        <v>30000</v>
      </c>
    </row>
    <row r="107" spans="1:6" x14ac:dyDescent="0.3">
      <c r="A107" s="2" t="s">
        <v>34</v>
      </c>
      <c r="B107" s="105">
        <f>SUM(B101:B106)</f>
        <v>171866</v>
      </c>
      <c r="C107" s="105">
        <f>SUM(C101:C106)</f>
        <v>162560</v>
      </c>
      <c r="D107" s="105">
        <f>SUM(D101:D106)</f>
        <v>218433</v>
      </c>
      <c r="E107" s="105">
        <f>SUM(E101:E106)</f>
        <v>235459</v>
      </c>
    </row>
    <row r="108" spans="1:6" ht="11.25" customHeight="1" x14ac:dyDescent="0.3">
      <c r="A108" s="2"/>
      <c r="B108" s="78"/>
      <c r="C108" s="78"/>
      <c r="D108" s="78"/>
      <c r="E108" s="78"/>
      <c r="F108" s="207" t="s">
        <v>15</v>
      </c>
    </row>
    <row r="109" spans="1:6" x14ac:dyDescent="0.3">
      <c r="A109" s="213" t="s">
        <v>72</v>
      </c>
      <c r="B109" s="212">
        <v>310000</v>
      </c>
      <c r="C109" s="212">
        <v>310000</v>
      </c>
      <c r="D109" s="212">
        <v>287700</v>
      </c>
      <c r="E109" s="109">
        <v>250000</v>
      </c>
      <c r="F109" s="208" t="s">
        <v>374</v>
      </c>
    </row>
    <row r="110" spans="1:6" ht="11.25" customHeight="1" x14ac:dyDescent="0.3">
      <c r="A110" s="2"/>
      <c r="B110" s="78"/>
      <c r="C110" s="78"/>
      <c r="D110" s="78"/>
      <c r="E110" s="78"/>
      <c r="F110" t="s">
        <v>436</v>
      </c>
    </row>
    <row r="111" spans="1:6" x14ac:dyDescent="0.3">
      <c r="A111" s="213" t="s">
        <v>70</v>
      </c>
      <c r="B111" s="212">
        <v>0</v>
      </c>
      <c r="C111" s="212">
        <v>0</v>
      </c>
      <c r="D111" s="212">
        <v>0</v>
      </c>
      <c r="E111" s="109">
        <v>0</v>
      </c>
    </row>
    <row r="112" spans="1:6" ht="11.25" customHeight="1" x14ac:dyDescent="0.3">
      <c r="A112" s="2"/>
      <c r="B112" s="78"/>
      <c r="C112" s="78"/>
      <c r="D112" s="78"/>
      <c r="E112" s="78"/>
    </row>
    <row r="113" spans="1:6" x14ac:dyDescent="0.3">
      <c r="A113" s="213" t="s">
        <v>361</v>
      </c>
      <c r="B113" s="214" t="e">
        <f>B111+B109+B107+B98+B87+B79+B66+B56+B45+B34</f>
        <v>#REF!</v>
      </c>
      <c r="C113" s="214">
        <f>C111+C109+C107+C98+C87+C79+C66+C56+C45+C34</f>
        <v>1702191</v>
      </c>
      <c r="D113" s="214" t="e">
        <f>D111+D109+D107+D98+D87+D79+D66+D56+D45+D34</f>
        <v>#REF!</v>
      </c>
      <c r="E113" s="112" t="e">
        <f>E111+E109+E107+E98+E87+E79+E66+E56+E45+E34</f>
        <v>#REF!</v>
      </c>
    </row>
    <row r="114" spans="1:6" ht="11.25" customHeight="1" x14ac:dyDescent="0.3">
      <c r="A114" s="2"/>
      <c r="B114" s="78"/>
      <c r="C114" s="78"/>
      <c r="D114" s="78"/>
      <c r="E114" s="78"/>
    </row>
    <row r="115" spans="1:6" x14ac:dyDescent="0.3">
      <c r="A115" s="211" t="s">
        <v>80</v>
      </c>
      <c r="B115" s="212" t="e">
        <f>+B19-B113</f>
        <v>#REF!</v>
      </c>
      <c r="C115" s="212">
        <f>+C19-C113</f>
        <v>50194</v>
      </c>
      <c r="D115" s="212" t="e">
        <f>+D19-D113</f>
        <v>#REF!</v>
      </c>
      <c r="E115" s="109" t="e">
        <f>+E19-E113</f>
        <v>#REF!</v>
      </c>
    </row>
    <row r="116" spans="1:6" ht="12.75" customHeight="1" x14ac:dyDescent="0.3">
      <c r="A116" s="55"/>
      <c r="B116" s="105"/>
      <c r="C116" s="105"/>
      <c r="D116" s="105"/>
      <c r="E116" s="105"/>
    </row>
    <row r="117" spans="1:6" ht="12.75" customHeight="1" x14ac:dyDescent="0.3">
      <c r="B117" s="105" t="s">
        <v>15</v>
      </c>
      <c r="C117" s="105"/>
      <c r="D117" s="105"/>
      <c r="E117" s="105"/>
    </row>
    <row r="118" spans="1:6" x14ac:dyDescent="0.3">
      <c r="A118" s="75" t="s">
        <v>210</v>
      </c>
      <c r="B118" s="2">
        <v>50194</v>
      </c>
      <c r="C118" s="2">
        <v>0</v>
      </c>
      <c r="D118" s="2">
        <v>0</v>
      </c>
      <c r="E118" s="2">
        <v>0</v>
      </c>
      <c r="F118" t="s">
        <v>419</v>
      </c>
    </row>
    <row r="119" spans="1:6" ht="15" thickBot="1" x14ac:dyDescent="0.35">
      <c r="A119" s="104" t="s">
        <v>278</v>
      </c>
      <c r="B119" s="176" t="e">
        <f>SUM(B115:B118)</f>
        <v>#REF!</v>
      </c>
      <c r="C119" s="176">
        <f>SUM(C115:C118)</f>
        <v>50194</v>
      </c>
      <c r="D119" s="176" t="e">
        <f>SUM(D115:D118)</f>
        <v>#REF!</v>
      </c>
      <c r="E119" s="176" t="e">
        <f>SUM(E115:E118)</f>
        <v>#REF!</v>
      </c>
    </row>
    <row r="120" spans="1:6" ht="15" thickTop="1" x14ac:dyDescent="0.3">
      <c r="A120" s="55" t="s">
        <v>353</v>
      </c>
      <c r="B120" s="102">
        <v>66000</v>
      </c>
      <c r="C120" s="102">
        <v>35425</v>
      </c>
    </row>
    <row r="121" spans="1:6" ht="15" thickBot="1" x14ac:dyDescent="0.35">
      <c r="A121" s="190" t="s">
        <v>339</v>
      </c>
      <c r="B121" s="192">
        <f>+B78+B53+B33+B103+B102+B63</f>
        <v>215000</v>
      </c>
      <c r="C121" s="192">
        <f>+C78+C53+C33+C103+C102+C63</f>
        <v>215000</v>
      </c>
      <c r="D121" s="192">
        <f>+D78+D53+D33+D103+D102+D63</f>
        <v>215000</v>
      </c>
      <c r="E121" s="192" t="e">
        <f>+#REF!+E78+E53+E33+E103+E102</f>
        <v>#REF!</v>
      </c>
    </row>
    <row r="122" spans="1:6" ht="15" thickTop="1" x14ac:dyDescent="0.3">
      <c r="B122" s="78"/>
      <c r="C122" s="78"/>
      <c r="D122" s="78"/>
      <c r="E122" s="78"/>
    </row>
    <row r="123" spans="1:6" x14ac:dyDescent="0.3">
      <c r="B123" s="78"/>
      <c r="C123" s="78"/>
      <c r="D123" s="78"/>
      <c r="E123" s="78"/>
    </row>
    <row r="124" spans="1:6" x14ac:dyDescent="0.3">
      <c r="B124" s="78"/>
      <c r="C124" s="78"/>
      <c r="D124" s="78"/>
      <c r="E124" s="78"/>
    </row>
    <row r="125" spans="1:6" x14ac:dyDescent="0.3">
      <c r="B125" s="78"/>
      <c r="C125" s="78"/>
      <c r="D125" s="78"/>
      <c r="E125" s="78"/>
    </row>
    <row r="126" spans="1:6" x14ac:dyDescent="0.3">
      <c r="B126" s="78"/>
      <c r="C126" s="78"/>
      <c r="D126" s="78"/>
      <c r="E126" s="78"/>
    </row>
    <row r="127" spans="1:6" x14ac:dyDescent="0.3">
      <c r="B127" s="78"/>
      <c r="C127" s="78"/>
      <c r="D127" s="78"/>
      <c r="E127" s="78"/>
    </row>
    <row r="128" spans="1:6" x14ac:dyDescent="0.3">
      <c r="B128" s="78"/>
      <c r="C128" s="78"/>
      <c r="D128" s="78"/>
      <c r="E128" s="78"/>
    </row>
    <row r="129" spans="2:5" x14ac:dyDescent="0.3">
      <c r="B129" s="78"/>
      <c r="C129" s="78"/>
      <c r="D129" s="78"/>
      <c r="E129" s="78"/>
    </row>
    <row r="130" spans="2:5" x14ac:dyDescent="0.3">
      <c r="B130" s="78"/>
      <c r="C130" s="78"/>
      <c r="D130" s="78"/>
      <c r="E130" s="78"/>
    </row>
    <row r="131" spans="2:5" x14ac:dyDescent="0.3">
      <c r="B131" s="78"/>
      <c r="C131" s="78"/>
      <c r="D131" s="78"/>
      <c r="E131" s="78"/>
    </row>
    <row r="132" spans="2:5" x14ac:dyDescent="0.3">
      <c r="B132" s="78"/>
      <c r="C132" s="78"/>
      <c r="D132" s="78"/>
      <c r="E132" s="78"/>
    </row>
    <row r="133" spans="2:5" x14ac:dyDescent="0.3">
      <c r="B133" s="78"/>
      <c r="C133" s="78"/>
      <c r="D133" s="78"/>
      <c r="E133" s="78"/>
    </row>
    <row r="134" spans="2:5" x14ac:dyDescent="0.3">
      <c r="B134" s="78"/>
      <c r="C134" s="78"/>
      <c r="D134" s="78"/>
      <c r="E134" s="78"/>
    </row>
    <row r="135" spans="2:5" x14ac:dyDescent="0.3">
      <c r="B135" s="78"/>
      <c r="C135" s="78"/>
      <c r="D135" s="78"/>
      <c r="E135" s="78"/>
    </row>
    <row r="136" spans="2:5" x14ac:dyDescent="0.3">
      <c r="B136" s="78"/>
      <c r="C136" s="78"/>
      <c r="D136" s="78"/>
      <c r="E136" s="78"/>
    </row>
    <row r="137" spans="2:5" x14ac:dyDescent="0.3">
      <c r="B137" s="78"/>
      <c r="C137" s="78"/>
      <c r="D137" s="78"/>
      <c r="E137" s="78"/>
    </row>
    <row r="138" spans="2:5" x14ac:dyDescent="0.3">
      <c r="B138" s="78"/>
      <c r="C138" s="78"/>
      <c r="D138" s="78"/>
      <c r="E138" s="78"/>
    </row>
    <row r="139" spans="2:5" x14ac:dyDescent="0.3">
      <c r="B139" s="78"/>
      <c r="C139" s="78"/>
      <c r="D139" s="78"/>
      <c r="E139" s="78"/>
    </row>
    <row r="140" spans="2:5" x14ac:dyDescent="0.3">
      <c r="B140" s="78"/>
      <c r="C140" s="78"/>
      <c r="D140" s="78"/>
      <c r="E140" s="78"/>
    </row>
    <row r="141" spans="2:5" x14ac:dyDescent="0.3">
      <c r="B141" s="78"/>
      <c r="C141" s="78"/>
      <c r="D141" s="78"/>
      <c r="E141" s="78"/>
    </row>
    <row r="142" spans="2:5" x14ac:dyDescent="0.3">
      <c r="B142" s="78"/>
      <c r="C142" s="78"/>
      <c r="D142" s="78"/>
      <c r="E142" s="78"/>
    </row>
    <row r="143" spans="2:5" x14ac:dyDescent="0.3">
      <c r="B143" s="78"/>
      <c r="C143" s="78"/>
      <c r="D143" s="78"/>
      <c r="E143" s="78"/>
    </row>
    <row r="144" spans="2:5" x14ac:dyDescent="0.3">
      <c r="B144" s="78"/>
      <c r="C144" s="78"/>
      <c r="D144" s="78"/>
      <c r="E144" s="78"/>
    </row>
    <row r="145" spans="2:5" x14ac:dyDescent="0.3">
      <c r="B145" s="78"/>
      <c r="C145" s="78"/>
      <c r="D145" s="78"/>
      <c r="E145" s="78"/>
    </row>
    <row r="146" spans="2:5" x14ac:dyDescent="0.3">
      <c r="B146" s="78"/>
      <c r="C146" s="78"/>
      <c r="D146" s="78"/>
      <c r="E146" s="78"/>
    </row>
    <row r="147" spans="2:5" x14ac:dyDescent="0.3">
      <c r="B147" s="78"/>
      <c r="C147" s="78"/>
      <c r="D147" s="78"/>
      <c r="E147" s="78"/>
    </row>
    <row r="148" spans="2:5" x14ac:dyDescent="0.3">
      <c r="B148" s="78"/>
      <c r="C148" s="78"/>
      <c r="D148" s="78"/>
      <c r="E148" s="78"/>
    </row>
    <row r="149" spans="2:5" x14ac:dyDescent="0.3">
      <c r="B149" s="78"/>
      <c r="C149" s="78"/>
      <c r="D149" s="78"/>
      <c r="E149" s="78"/>
    </row>
    <row r="150" spans="2:5" x14ac:dyDescent="0.3">
      <c r="B150" s="78"/>
      <c r="C150" s="78"/>
      <c r="D150" s="78"/>
      <c r="E150" s="78"/>
    </row>
    <row r="151" spans="2:5" x14ac:dyDescent="0.3">
      <c r="B151" s="78"/>
      <c r="C151" s="78"/>
      <c r="D151" s="78"/>
      <c r="E151" s="78"/>
    </row>
    <row r="152" spans="2:5" x14ac:dyDescent="0.3">
      <c r="B152" s="78"/>
      <c r="C152" s="78"/>
      <c r="D152" s="78"/>
      <c r="E152" s="78"/>
    </row>
    <row r="153" spans="2:5" x14ac:dyDescent="0.3">
      <c r="B153" s="78"/>
      <c r="C153" s="78"/>
      <c r="D153" s="78"/>
      <c r="E153" s="78"/>
    </row>
    <row r="154" spans="2:5" x14ac:dyDescent="0.3">
      <c r="B154" s="78"/>
      <c r="C154" s="78"/>
      <c r="D154" s="78"/>
      <c r="E154" s="78"/>
    </row>
    <row r="155" spans="2:5" x14ac:dyDescent="0.3">
      <c r="B155" s="78"/>
      <c r="C155" s="78"/>
      <c r="D155" s="78"/>
      <c r="E155" s="78"/>
    </row>
    <row r="156" spans="2:5" x14ac:dyDescent="0.3">
      <c r="B156" s="78"/>
      <c r="C156" s="78"/>
      <c r="D156" s="78"/>
      <c r="E156" s="78"/>
    </row>
    <row r="157" spans="2:5" x14ac:dyDescent="0.3">
      <c r="B157" s="78"/>
      <c r="C157" s="78"/>
      <c r="D157" s="78"/>
      <c r="E157" s="78"/>
    </row>
    <row r="158" spans="2:5" x14ac:dyDescent="0.3">
      <c r="B158" s="78"/>
      <c r="C158" s="78"/>
      <c r="D158" s="78"/>
      <c r="E158" s="78"/>
    </row>
    <row r="159" spans="2:5" x14ac:dyDescent="0.3">
      <c r="B159" s="78"/>
      <c r="C159" s="78"/>
      <c r="D159" s="78"/>
      <c r="E159" s="78"/>
    </row>
    <row r="160" spans="2:5" x14ac:dyDescent="0.3">
      <c r="B160" s="78"/>
      <c r="C160" s="78"/>
      <c r="D160" s="78"/>
      <c r="E160" s="78"/>
    </row>
    <row r="161" spans="2:5" x14ac:dyDescent="0.3">
      <c r="B161" s="78"/>
      <c r="C161" s="78"/>
      <c r="D161" s="78"/>
      <c r="E161" s="78"/>
    </row>
    <row r="162" spans="2:5" x14ac:dyDescent="0.3">
      <c r="B162" s="78"/>
      <c r="C162" s="78"/>
      <c r="D162" s="78"/>
      <c r="E162" s="78"/>
    </row>
    <row r="163" spans="2:5" x14ac:dyDescent="0.3">
      <c r="B163" s="78"/>
      <c r="C163" s="78"/>
      <c r="D163" s="78"/>
      <c r="E163" s="78"/>
    </row>
    <row r="164" spans="2:5" x14ac:dyDescent="0.3">
      <c r="B164" s="78"/>
      <c r="C164" s="78"/>
      <c r="D164" s="78"/>
      <c r="E164" s="78"/>
    </row>
    <row r="165" spans="2:5" x14ac:dyDescent="0.3">
      <c r="B165" s="78"/>
      <c r="C165" s="78"/>
      <c r="D165" s="78"/>
      <c r="E165" s="78"/>
    </row>
    <row r="166" spans="2:5" x14ac:dyDescent="0.3">
      <c r="B166" s="78"/>
      <c r="C166" s="78"/>
      <c r="D166" s="78"/>
      <c r="E166" s="78"/>
    </row>
    <row r="167" spans="2:5" x14ac:dyDescent="0.3">
      <c r="B167" s="78"/>
      <c r="C167" s="78"/>
      <c r="D167" s="78"/>
      <c r="E167" s="78"/>
    </row>
    <row r="168" spans="2:5" x14ac:dyDescent="0.3">
      <c r="B168" s="78"/>
      <c r="C168" s="78"/>
      <c r="D168" s="78"/>
      <c r="E168" s="78"/>
    </row>
    <row r="169" spans="2:5" x14ac:dyDescent="0.3">
      <c r="B169" s="78"/>
      <c r="C169" s="78"/>
      <c r="D169" s="78"/>
      <c r="E169" s="78"/>
    </row>
    <row r="170" spans="2:5" x14ac:dyDescent="0.3">
      <c r="B170" s="78"/>
      <c r="C170" s="78"/>
      <c r="D170" s="78"/>
      <c r="E170" s="78"/>
    </row>
    <row r="171" spans="2:5" x14ac:dyDescent="0.3">
      <c r="B171" s="78"/>
      <c r="C171" s="78"/>
      <c r="D171" s="78"/>
      <c r="E171" s="78"/>
    </row>
    <row r="172" spans="2:5" x14ac:dyDescent="0.3">
      <c r="B172" s="78"/>
      <c r="C172" s="78"/>
      <c r="D172" s="78"/>
      <c r="E172" s="78"/>
    </row>
    <row r="173" spans="2:5" x14ac:dyDescent="0.3">
      <c r="B173" s="78"/>
      <c r="C173" s="78"/>
      <c r="D173" s="78"/>
      <c r="E173" s="78"/>
    </row>
    <row r="174" spans="2:5" x14ac:dyDescent="0.3">
      <c r="B174" s="78"/>
      <c r="C174" s="78"/>
      <c r="D174" s="78"/>
      <c r="E174" s="78"/>
    </row>
    <row r="175" spans="2:5" x14ac:dyDescent="0.3">
      <c r="B175" s="78"/>
      <c r="C175" s="78"/>
      <c r="D175" s="78"/>
      <c r="E175" s="78"/>
    </row>
    <row r="176" spans="2:5" x14ac:dyDescent="0.3">
      <c r="B176" s="78"/>
      <c r="C176" s="78"/>
      <c r="D176" s="78"/>
      <c r="E176" s="78"/>
    </row>
    <row r="177" spans="2:5" x14ac:dyDescent="0.3">
      <c r="B177" s="78"/>
      <c r="C177" s="78"/>
      <c r="D177" s="78"/>
      <c r="E177" s="78"/>
    </row>
    <row r="178" spans="2:5" x14ac:dyDescent="0.3">
      <c r="B178" s="78"/>
      <c r="C178" s="78"/>
      <c r="D178" s="78"/>
      <c r="E178" s="78"/>
    </row>
    <row r="179" spans="2:5" x14ac:dyDescent="0.3">
      <c r="B179" s="78"/>
      <c r="C179" s="78"/>
      <c r="D179" s="78"/>
      <c r="E179" s="78"/>
    </row>
    <row r="180" spans="2:5" x14ac:dyDescent="0.3">
      <c r="B180" s="78"/>
      <c r="C180" s="78"/>
      <c r="D180" s="78"/>
      <c r="E180" s="78"/>
    </row>
    <row r="181" spans="2:5" x14ac:dyDescent="0.3">
      <c r="B181" s="78"/>
      <c r="C181" s="78"/>
      <c r="D181" s="78"/>
      <c r="E181" s="78"/>
    </row>
    <row r="182" spans="2:5" x14ac:dyDescent="0.3">
      <c r="B182" s="78"/>
      <c r="C182" s="78"/>
      <c r="D182" s="78"/>
      <c r="E182" s="78"/>
    </row>
    <row r="183" spans="2:5" x14ac:dyDescent="0.3">
      <c r="B183" s="78"/>
      <c r="C183" s="78"/>
      <c r="D183" s="78"/>
      <c r="E183" s="78"/>
    </row>
    <row r="184" spans="2:5" x14ac:dyDescent="0.3">
      <c r="B184" s="78"/>
      <c r="C184" s="78"/>
      <c r="D184" s="78"/>
      <c r="E184" s="78"/>
    </row>
    <row r="185" spans="2:5" x14ac:dyDescent="0.3">
      <c r="B185" s="78"/>
      <c r="C185" s="78"/>
      <c r="D185" s="78"/>
      <c r="E185" s="78"/>
    </row>
    <row r="186" spans="2:5" x14ac:dyDescent="0.3">
      <c r="B186" s="78"/>
      <c r="C186" s="78"/>
      <c r="D186" s="78"/>
      <c r="E186" s="78"/>
    </row>
    <row r="187" spans="2:5" x14ac:dyDescent="0.3">
      <c r="B187" s="78"/>
      <c r="C187" s="78"/>
      <c r="D187" s="78"/>
      <c r="E187" s="78"/>
    </row>
    <row r="188" spans="2:5" x14ac:dyDescent="0.3">
      <c r="B188" s="78"/>
      <c r="C188" s="78"/>
      <c r="D188" s="78"/>
      <c r="E188" s="78"/>
    </row>
    <row r="189" spans="2:5" x14ac:dyDescent="0.3">
      <c r="B189" s="78"/>
      <c r="C189" s="78"/>
      <c r="D189" s="78"/>
      <c r="E189" s="78"/>
    </row>
    <row r="190" spans="2:5" x14ac:dyDescent="0.3">
      <c r="B190" s="78"/>
      <c r="C190" s="78"/>
      <c r="D190" s="78"/>
      <c r="E190" s="78"/>
    </row>
    <row r="191" spans="2:5" x14ac:dyDescent="0.3">
      <c r="B191" s="78"/>
      <c r="C191" s="78"/>
      <c r="D191" s="78"/>
      <c r="E191" s="78"/>
    </row>
    <row r="192" spans="2:5" x14ac:dyDescent="0.3">
      <c r="B192" s="78"/>
      <c r="C192" s="78"/>
      <c r="D192" s="78"/>
      <c r="E192" s="78"/>
    </row>
    <row r="193" spans="2:5" x14ac:dyDescent="0.3">
      <c r="B193" s="78"/>
      <c r="C193" s="78"/>
      <c r="D193" s="78"/>
      <c r="E193" s="78"/>
    </row>
    <row r="194" spans="2:5" x14ac:dyDescent="0.3">
      <c r="B194" s="78"/>
      <c r="C194" s="78"/>
      <c r="D194" s="78"/>
      <c r="E194" s="78"/>
    </row>
    <row r="195" spans="2:5" x14ac:dyDescent="0.3">
      <c r="B195" s="78"/>
      <c r="C195" s="78"/>
      <c r="D195" s="78"/>
      <c r="E195" s="78"/>
    </row>
    <row r="196" spans="2:5" x14ac:dyDescent="0.3">
      <c r="B196" s="78"/>
      <c r="C196" s="78"/>
      <c r="D196" s="78"/>
      <c r="E196" s="78"/>
    </row>
    <row r="197" spans="2:5" x14ac:dyDescent="0.3">
      <c r="B197" s="78"/>
      <c r="C197" s="78"/>
      <c r="D197" s="78"/>
      <c r="E197" s="78"/>
    </row>
    <row r="198" spans="2:5" x14ac:dyDescent="0.3">
      <c r="B198" s="78"/>
      <c r="C198" s="78"/>
      <c r="D198" s="78"/>
      <c r="E198" s="78"/>
    </row>
    <row r="199" spans="2:5" x14ac:dyDescent="0.3">
      <c r="B199" s="78"/>
      <c r="C199" s="78"/>
      <c r="D199" s="78"/>
      <c r="E199" s="78"/>
    </row>
    <row r="200" spans="2:5" x14ac:dyDescent="0.3">
      <c r="B200" s="78"/>
      <c r="C200" s="78"/>
      <c r="D200" s="78"/>
      <c r="E200" s="78"/>
    </row>
    <row r="201" spans="2:5" x14ac:dyDescent="0.3">
      <c r="B201" s="78"/>
      <c r="C201" s="78"/>
      <c r="D201" s="78"/>
      <c r="E201" s="78"/>
    </row>
    <row r="202" spans="2:5" x14ac:dyDescent="0.3">
      <c r="B202" s="78"/>
      <c r="C202" s="78"/>
      <c r="D202" s="78"/>
      <c r="E202" s="78"/>
    </row>
    <row r="203" spans="2:5" x14ac:dyDescent="0.3">
      <c r="B203" s="78"/>
      <c r="C203" s="78"/>
      <c r="D203" s="78"/>
      <c r="E203" s="78"/>
    </row>
    <row r="204" spans="2:5" x14ac:dyDescent="0.3">
      <c r="B204" s="78"/>
      <c r="C204" s="78"/>
      <c r="D204" s="78"/>
      <c r="E204" s="78"/>
    </row>
    <row r="205" spans="2:5" x14ac:dyDescent="0.3">
      <c r="B205" s="78"/>
      <c r="C205" s="78"/>
      <c r="D205" s="78"/>
      <c r="E205" s="78"/>
    </row>
    <row r="206" spans="2:5" x14ac:dyDescent="0.3">
      <c r="B206" s="78"/>
      <c r="C206" s="78"/>
      <c r="D206" s="78"/>
      <c r="E206" s="78"/>
    </row>
    <row r="207" spans="2:5" x14ac:dyDescent="0.3">
      <c r="B207" s="78"/>
      <c r="C207" s="78"/>
      <c r="D207" s="78"/>
      <c r="E207" s="78"/>
    </row>
    <row r="208" spans="2:5" x14ac:dyDescent="0.3">
      <c r="B208" s="78"/>
      <c r="C208" s="78"/>
      <c r="D208" s="78"/>
      <c r="E208" s="78"/>
    </row>
    <row r="209" spans="2:5" x14ac:dyDescent="0.3">
      <c r="B209" s="78"/>
      <c r="C209" s="78"/>
      <c r="D209" s="78"/>
      <c r="E209" s="78"/>
    </row>
    <row r="210" spans="2:5" x14ac:dyDescent="0.3">
      <c r="B210" s="78"/>
      <c r="C210" s="78"/>
      <c r="D210" s="78"/>
      <c r="E210" s="78"/>
    </row>
    <row r="211" spans="2:5" x14ac:dyDescent="0.3">
      <c r="B211" s="78"/>
      <c r="C211" s="78"/>
      <c r="D211" s="78"/>
      <c r="E211" s="78"/>
    </row>
    <row r="212" spans="2:5" x14ac:dyDescent="0.3">
      <c r="B212" s="78"/>
      <c r="C212" s="78"/>
      <c r="D212" s="78"/>
      <c r="E212" s="78"/>
    </row>
    <row r="213" spans="2:5" x14ac:dyDescent="0.3">
      <c r="B213" s="78"/>
      <c r="C213" s="78"/>
      <c r="D213" s="78"/>
      <c r="E213" s="78"/>
    </row>
    <row r="214" spans="2:5" x14ac:dyDescent="0.3">
      <c r="B214" s="78"/>
      <c r="C214" s="78"/>
      <c r="D214" s="78"/>
      <c r="E214" s="78"/>
    </row>
    <row r="215" spans="2:5" x14ac:dyDescent="0.3">
      <c r="B215" s="78"/>
      <c r="C215" s="78"/>
      <c r="D215" s="78"/>
      <c r="E215" s="78"/>
    </row>
    <row r="216" spans="2:5" x14ac:dyDescent="0.3">
      <c r="B216" s="78"/>
      <c r="C216" s="78"/>
      <c r="D216" s="78"/>
      <c r="E216" s="78"/>
    </row>
    <row r="217" spans="2:5" x14ac:dyDescent="0.3">
      <c r="B217" s="78"/>
      <c r="C217" s="78"/>
      <c r="D217" s="78"/>
      <c r="E217" s="78"/>
    </row>
    <row r="218" spans="2:5" x14ac:dyDescent="0.3">
      <c r="B218" s="78"/>
      <c r="C218" s="78"/>
      <c r="D218" s="78"/>
      <c r="E218" s="78"/>
    </row>
    <row r="219" spans="2:5" x14ac:dyDescent="0.3">
      <c r="B219" s="78"/>
      <c r="C219" s="78"/>
      <c r="D219" s="78"/>
      <c r="E219" s="78"/>
    </row>
    <row r="220" spans="2:5" x14ac:dyDescent="0.3">
      <c r="B220" s="78"/>
      <c r="C220" s="78"/>
      <c r="D220" s="78"/>
      <c r="E220" s="78"/>
    </row>
    <row r="221" spans="2:5" x14ac:dyDescent="0.3">
      <c r="B221" s="78"/>
      <c r="C221" s="78"/>
      <c r="D221" s="78"/>
      <c r="E221" s="78"/>
    </row>
    <row r="222" spans="2:5" x14ac:dyDescent="0.3">
      <c r="B222" s="78"/>
      <c r="C222" s="78"/>
      <c r="D222" s="78"/>
      <c r="E222" s="78"/>
    </row>
    <row r="223" spans="2:5" x14ac:dyDescent="0.3">
      <c r="B223" s="78"/>
      <c r="C223" s="78"/>
      <c r="D223" s="78"/>
      <c r="E223" s="78"/>
    </row>
    <row r="224" spans="2:5" x14ac:dyDescent="0.3">
      <c r="B224" s="78"/>
      <c r="C224" s="78"/>
      <c r="D224" s="78"/>
      <c r="E224" s="78"/>
    </row>
    <row r="225" spans="2:5" x14ac:dyDescent="0.3">
      <c r="B225" s="78"/>
      <c r="C225" s="78"/>
      <c r="D225" s="78"/>
      <c r="E225" s="78"/>
    </row>
    <row r="226" spans="2:5" x14ac:dyDescent="0.3">
      <c r="B226" s="78"/>
      <c r="C226" s="78"/>
      <c r="D226" s="78"/>
      <c r="E226" s="78"/>
    </row>
    <row r="227" spans="2:5" x14ac:dyDescent="0.3">
      <c r="B227" s="78"/>
      <c r="C227" s="78"/>
      <c r="D227" s="78"/>
      <c r="E227" s="78"/>
    </row>
    <row r="228" spans="2:5" x14ac:dyDescent="0.3">
      <c r="B228" s="78"/>
      <c r="C228" s="78"/>
      <c r="D228" s="78"/>
      <c r="E228" s="78"/>
    </row>
    <row r="229" spans="2:5" x14ac:dyDescent="0.3">
      <c r="B229" s="78"/>
      <c r="C229" s="78"/>
      <c r="D229" s="78"/>
      <c r="E229" s="78"/>
    </row>
    <row r="230" spans="2:5" x14ac:dyDescent="0.3">
      <c r="B230" s="78"/>
      <c r="C230" s="78"/>
      <c r="D230" s="78"/>
      <c r="E230" s="78"/>
    </row>
    <row r="231" spans="2:5" x14ac:dyDescent="0.3">
      <c r="B231" s="78"/>
      <c r="C231" s="78"/>
      <c r="D231" s="78"/>
      <c r="E231" s="78"/>
    </row>
    <row r="232" spans="2:5" x14ac:dyDescent="0.3">
      <c r="B232" s="78"/>
      <c r="C232" s="78"/>
      <c r="D232" s="78"/>
      <c r="E232" s="78"/>
    </row>
    <row r="233" spans="2:5" x14ac:dyDescent="0.3">
      <c r="B233" s="78"/>
      <c r="C233" s="78"/>
      <c r="D233" s="78"/>
      <c r="E233" s="78"/>
    </row>
    <row r="234" spans="2:5" x14ac:dyDescent="0.3">
      <c r="B234" s="78"/>
      <c r="C234" s="78"/>
      <c r="D234" s="78"/>
      <c r="E234" s="78"/>
    </row>
    <row r="235" spans="2:5" x14ac:dyDescent="0.3">
      <c r="B235" s="78"/>
      <c r="C235" s="78"/>
      <c r="D235" s="78"/>
      <c r="E235" s="78"/>
    </row>
    <row r="236" spans="2:5" x14ac:dyDescent="0.3">
      <c r="B236" s="78"/>
      <c r="C236" s="78"/>
      <c r="D236" s="78"/>
      <c r="E236" s="78"/>
    </row>
    <row r="237" spans="2:5" x14ac:dyDescent="0.3">
      <c r="B237" s="78"/>
      <c r="C237" s="78"/>
      <c r="D237" s="78"/>
      <c r="E237" s="78"/>
    </row>
    <row r="238" spans="2:5" x14ac:dyDescent="0.3">
      <c r="B238" s="78"/>
      <c r="C238" s="78"/>
      <c r="D238" s="78"/>
      <c r="E238" s="78"/>
    </row>
    <row r="239" spans="2:5" x14ac:dyDescent="0.3">
      <c r="B239" s="78"/>
      <c r="C239" s="78"/>
      <c r="D239" s="78"/>
      <c r="E239" s="78"/>
    </row>
    <row r="240" spans="2:5" x14ac:dyDescent="0.3">
      <c r="B240" s="78"/>
      <c r="C240" s="78"/>
      <c r="D240" s="78"/>
      <c r="E240" s="78"/>
    </row>
    <row r="241" spans="2:5" x14ac:dyDescent="0.3">
      <c r="B241" s="78"/>
      <c r="C241" s="78"/>
      <c r="D241" s="78"/>
      <c r="E241" s="78"/>
    </row>
    <row r="242" spans="2:5" x14ac:dyDescent="0.3">
      <c r="B242" s="78"/>
      <c r="C242" s="78"/>
      <c r="D242" s="78"/>
      <c r="E242" s="78"/>
    </row>
    <row r="243" spans="2:5" x14ac:dyDescent="0.3">
      <c r="B243" s="78"/>
      <c r="C243" s="78"/>
      <c r="D243" s="78"/>
      <c r="E243" s="78"/>
    </row>
    <row r="244" spans="2:5" x14ac:dyDescent="0.3">
      <c r="B244" s="78"/>
      <c r="C244" s="78"/>
      <c r="D244" s="78"/>
      <c r="E244" s="78"/>
    </row>
    <row r="245" spans="2:5" x14ac:dyDescent="0.3">
      <c r="B245" s="78"/>
      <c r="C245" s="78"/>
      <c r="D245" s="78"/>
      <c r="E245" s="78"/>
    </row>
    <row r="246" spans="2:5" x14ac:dyDescent="0.3">
      <c r="B246" s="78"/>
      <c r="C246" s="78"/>
      <c r="D246" s="78"/>
      <c r="E246" s="78"/>
    </row>
    <row r="247" spans="2:5" x14ac:dyDescent="0.3">
      <c r="B247" s="78"/>
      <c r="C247" s="78"/>
      <c r="D247" s="78"/>
      <c r="E247" s="78"/>
    </row>
    <row r="248" spans="2:5" x14ac:dyDescent="0.3">
      <c r="B248" s="78"/>
      <c r="C248" s="78"/>
      <c r="D248" s="78"/>
      <c r="E248" s="78"/>
    </row>
    <row r="249" spans="2:5" x14ac:dyDescent="0.3">
      <c r="B249" s="78"/>
      <c r="C249" s="78"/>
      <c r="D249" s="78"/>
      <c r="E249" s="78"/>
    </row>
    <row r="250" spans="2:5" x14ac:dyDescent="0.3">
      <c r="B250" s="78"/>
      <c r="C250" s="78"/>
      <c r="D250" s="78"/>
      <c r="E250" s="78"/>
    </row>
    <row r="251" spans="2:5" x14ac:dyDescent="0.3">
      <c r="B251" s="78"/>
      <c r="C251" s="78"/>
      <c r="D251" s="78"/>
      <c r="E251" s="78"/>
    </row>
    <row r="252" spans="2:5" x14ac:dyDescent="0.3">
      <c r="B252" s="78"/>
      <c r="C252" s="78"/>
      <c r="D252" s="78"/>
      <c r="E252" s="78"/>
    </row>
    <row r="253" spans="2:5" x14ac:dyDescent="0.3">
      <c r="B253" s="78"/>
      <c r="C253" s="78"/>
      <c r="D253" s="78"/>
      <c r="E253" s="78"/>
    </row>
    <row r="254" spans="2:5" x14ac:dyDescent="0.3">
      <c r="B254" s="78"/>
      <c r="C254" s="78"/>
      <c r="D254" s="78"/>
      <c r="E254" s="78"/>
    </row>
    <row r="255" spans="2:5" x14ac:dyDescent="0.3">
      <c r="B255" s="78"/>
      <c r="C255" s="78"/>
      <c r="D255" s="78"/>
      <c r="E255" s="78"/>
    </row>
    <row r="256" spans="2:5" x14ac:dyDescent="0.3">
      <c r="B256" s="78"/>
      <c r="C256" s="78"/>
      <c r="D256" s="78"/>
      <c r="E256" s="78"/>
    </row>
    <row r="257" spans="2:5" x14ac:dyDescent="0.3">
      <c r="B257" s="78"/>
      <c r="C257" s="78"/>
      <c r="D257" s="78"/>
      <c r="E257" s="78"/>
    </row>
    <row r="258" spans="2:5" x14ac:dyDescent="0.3">
      <c r="B258" s="78"/>
      <c r="C258" s="78"/>
      <c r="D258" s="78"/>
      <c r="E258" s="78"/>
    </row>
    <row r="259" spans="2:5" x14ac:dyDescent="0.3">
      <c r="B259" s="78"/>
      <c r="C259" s="78"/>
      <c r="D259" s="78"/>
      <c r="E259" s="78"/>
    </row>
    <row r="260" spans="2:5" x14ac:dyDescent="0.3">
      <c r="B260" s="78"/>
      <c r="C260" s="78"/>
      <c r="D260" s="78"/>
      <c r="E260" s="78"/>
    </row>
    <row r="261" spans="2:5" x14ac:dyDescent="0.3">
      <c r="B261" s="78"/>
      <c r="C261" s="78"/>
      <c r="D261" s="78"/>
      <c r="E261" s="78"/>
    </row>
    <row r="262" spans="2:5" x14ac:dyDescent="0.3">
      <c r="B262" s="78"/>
      <c r="C262" s="78"/>
      <c r="D262" s="78"/>
      <c r="E262" s="78"/>
    </row>
    <row r="263" spans="2:5" x14ac:dyDescent="0.3">
      <c r="B263" s="78"/>
      <c r="C263" s="78"/>
      <c r="D263" s="78"/>
      <c r="E263" s="78"/>
    </row>
    <row r="264" spans="2:5" x14ac:dyDescent="0.3">
      <c r="B264" s="78"/>
      <c r="C264" s="78"/>
      <c r="D264" s="78"/>
      <c r="E264" s="78"/>
    </row>
    <row r="265" spans="2:5" x14ac:dyDescent="0.3">
      <c r="B265" s="78"/>
      <c r="C265" s="78"/>
      <c r="D265" s="78"/>
      <c r="E265" s="78"/>
    </row>
    <row r="266" spans="2:5" x14ac:dyDescent="0.3">
      <c r="B266" s="78"/>
      <c r="C266" s="78"/>
      <c r="D266" s="78"/>
      <c r="E266" s="78"/>
    </row>
    <row r="267" spans="2:5" x14ac:dyDescent="0.3">
      <c r="B267" s="78"/>
      <c r="C267" s="78"/>
      <c r="D267" s="78"/>
      <c r="E267" s="78"/>
    </row>
    <row r="268" spans="2:5" x14ac:dyDescent="0.3">
      <c r="B268" s="78"/>
      <c r="C268" s="78"/>
      <c r="D268" s="78"/>
      <c r="E268" s="78"/>
    </row>
    <row r="269" spans="2:5" x14ac:dyDescent="0.3">
      <c r="B269" s="78"/>
      <c r="C269" s="78"/>
      <c r="D269" s="78"/>
      <c r="E269" s="78"/>
    </row>
    <row r="270" spans="2:5" x14ac:dyDescent="0.3">
      <c r="B270" s="78"/>
      <c r="C270" s="78"/>
      <c r="D270" s="78"/>
      <c r="E270" s="78"/>
    </row>
    <row r="271" spans="2:5" x14ac:dyDescent="0.3">
      <c r="B271" s="78"/>
      <c r="C271" s="78"/>
      <c r="D271" s="78"/>
      <c r="E271" s="78"/>
    </row>
    <row r="272" spans="2:5" x14ac:dyDescent="0.3">
      <c r="B272" s="78"/>
      <c r="C272" s="78"/>
      <c r="D272" s="78"/>
      <c r="E272" s="78"/>
    </row>
    <row r="273" spans="2:5" x14ac:dyDescent="0.3">
      <c r="B273" s="78"/>
      <c r="C273" s="78"/>
      <c r="D273" s="78"/>
      <c r="E273" s="78"/>
    </row>
    <row r="274" spans="2:5" x14ac:dyDescent="0.3">
      <c r="B274" s="78"/>
      <c r="C274" s="78"/>
      <c r="D274" s="78"/>
      <c r="E274" s="78"/>
    </row>
    <row r="275" spans="2:5" x14ac:dyDescent="0.3">
      <c r="B275" s="78"/>
      <c r="C275" s="78"/>
      <c r="D275" s="78"/>
      <c r="E275" s="78"/>
    </row>
    <row r="276" spans="2:5" x14ac:dyDescent="0.3">
      <c r="B276" s="78"/>
      <c r="C276" s="78"/>
      <c r="D276" s="78"/>
      <c r="E276" s="78"/>
    </row>
    <row r="277" spans="2:5" x14ac:dyDescent="0.3">
      <c r="B277" s="78"/>
      <c r="C277" s="78"/>
      <c r="D277" s="78"/>
      <c r="E277" s="78"/>
    </row>
    <row r="278" spans="2:5" x14ac:dyDescent="0.3">
      <c r="B278" s="78"/>
      <c r="C278" s="78"/>
      <c r="D278" s="78"/>
      <c r="E278" s="78"/>
    </row>
    <row r="279" spans="2:5" x14ac:dyDescent="0.3">
      <c r="B279" s="78"/>
      <c r="C279" s="78"/>
      <c r="D279" s="78"/>
      <c r="E279" s="78"/>
    </row>
    <row r="280" spans="2:5" x14ac:dyDescent="0.3">
      <c r="B280" s="78"/>
      <c r="C280" s="78"/>
      <c r="D280" s="78"/>
      <c r="E280" s="78"/>
    </row>
    <row r="281" spans="2:5" x14ac:dyDescent="0.3">
      <c r="B281" s="78"/>
      <c r="C281" s="78"/>
      <c r="D281" s="78"/>
      <c r="E281" s="78"/>
    </row>
    <row r="282" spans="2:5" x14ac:dyDescent="0.3">
      <c r="B282" s="78"/>
      <c r="C282" s="78"/>
      <c r="D282" s="78"/>
      <c r="E282" s="78"/>
    </row>
    <row r="283" spans="2:5" x14ac:dyDescent="0.3">
      <c r="B283" s="78"/>
      <c r="C283" s="78"/>
      <c r="D283" s="78"/>
      <c r="E283" s="78"/>
    </row>
    <row r="284" spans="2:5" x14ac:dyDescent="0.3">
      <c r="B284" s="78"/>
      <c r="C284" s="78"/>
      <c r="D284" s="78"/>
      <c r="E284" s="78"/>
    </row>
    <row r="285" spans="2:5" x14ac:dyDescent="0.3">
      <c r="B285" s="78"/>
      <c r="C285" s="78"/>
      <c r="D285" s="78"/>
      <c r="E285" s="78"/>
    </row>
    <row r="286" spans="2:5" x14ac:dyDescent="0.3">
      <c r="B286" s="78"/>
      <c r="C286" s="78"/>
      <c r="D286" s="78"/>
      <c r="E286" s="78"/>
    </row>
    <row r="287" spans="2:5" x14ac:dyDescent="0.3">
      <c r="B287" s="78"/>
      <c r="C287" s="78"/>
      <c r="D287" s="78"/>
      <c r="E287" s="78"/>
    </row>
    <row r="288" spans="2:5" x14ac:dyDescent="0.3">
      <c r="B288" s="78"/>
      <c r="C288" s="78"/>
      <c r="D288" s="78"/>
      <c r="E288" s="78"/>
    </row>
    <row r="289" spans="2:5" x14ac:dyDescent="0.3">
      <c r="B289" s="78"/>
      <c r="C289" s="78"/>
      <c r="D289" s="78"/>
      <c r="E289" s="78"/>
    </row>
    <row r="290" spans="2:5" x14ac:dyDescent="0.3">
      <c r="B290" s="78"/>
      <c r="C290" s="78"/>
      <c r="D290" s="78"/>
      <c r="E290" s="78"/>
    </row>
    <row r="291" spans="2:5" x14ac:dyDescent="0.3">
      <c r="B291" s="78"/>
      <c r="C291" s="78"/>
      <c r="D291" s="78"/>
      <c r="E291" s="78"/>
    </row>
    <row r="292" spans="2:5" x14ac:dyDescent="0.3">
      <c r="B292" s="78"/>
      <c r="C292" s="78"/>
      <c r="D292" s="78"/>
      <c r="E292" s="78"/>
    </row>
    <row r="293" spans="2:5" x14ac:dyDescent="0.3">
      <c r="B293" s="78"/>
      <c r="C293" s="78"/>
      <c r="D293" s="78"/>
      <c r="E293" s="78"/>
    </row>
    <row r="294" spans="2:5" x14ac:dyDescent="0.3">
      <c r="B294" s="78"/>
      <c r="C294" s="78"/>
      <c r="D294" s="78"/>
      <c r="E294" s="78"/>
    </row>
    <row r="295" spans="2:5" x14ac:dyDescent="0.3">
      <c r="B295" s="78"/>
      <c r="C295" s="78"/>
      <c r="D295" s="78"/>
      <c r="E295" s="78"/>
    </row>
    <row r="296" spans="2:5" x14ac:dyDescent="0.3">
      <c r="B296" s="78"/>
      <c r="C296" s="78"/>
      <c r="D296" s="78"/>
      <c r="E296" s="78"/>
    </row>
    <row r="297" spans="2:5" x14ac:dyDescent="0.3">
      <c r="B297" s="78"/>
      <c r="C297" s="78"/>
      <c r="D297" s="78"/>
      <c r="E297" s="78"/>
    </row>
    <row r="298" spans="2:5" x14ac:dyDescent="0.3">
      <c r="B298" s="78"/>
      <c r="C298" s="78"/>
      <c r="D298" s="78"/>
      <c r="E298" s="78"/>
    </row>
    <row r="299" spans="2:5" x14ac:dyDescent="0.3">
      <c r="B299" s="78"/>
      <c r="C299" s="78"/>
      <c r="D299" s="78"/>
      <c r="E299" s="78"/>
    </row>
    <row r="300" spans="2:5" x14ac:dyDescent="0.3">
      <c r="B300" s="78"/>
      <c r="C300" s="78"/>
      <c r="D300" s="78"/>
      <c r="E300" s="78"/>
    </row>
    <row r="301" spans="2:5" x14ac:dyDescent="0.3">
      <c r="B301" s="78"/>
      <c r="C301" s="78"/>
      <c r="D301" s="78"/>
      <c r="E301" s="78"/>
    </row>
    <row r="302" spans="2:5" x14ac:dyDescent="0.3">
      <c r="B302" s="78"/>
      <c r="C302" s="78"/>
      <c r="D302" s="78"/>
      <c r="E302" s="78"/>
    </row>
    <row r="303" spans="2:5" x14ac:dyDescent="0.3">
      <c r="B303" s="78"/>
      <c r="C303" s="78"/>
      <c r="D303" s="78"/>
      <c r="E303" s="78"/>
    </row>
    <row r="304" spans="2:5" x14ac:dyDescent="0.3">
      <c r="B304" s="78"/>
      <c r="C304" s="78"/>
      <c r="D304" s="78"/>
      <c r="E304" s="78"/>
    </row>
    <row r="305" spans="2:5" x14ac:dyDescent="0.3">
      <c r="B305" s="78"/>
      <c r="C305" s="78"/>
      <c r="D305" s="78"/>
      <c r="E305" s="78"/>
    </row>
    <row r="306" spans="2:5" x14ac:dyDescent="0.3">
      <c r="B306" s="78"/>
      <c r="C306" s="78"/>
      <c r="D306" s="78"/>
      <c r="E306" s="78"/>
    </row>
    <row r="307" spans="2:5" x14ac:dyDescent="0.3">
      <c r="B307" s="78"/>
      <c r="C307" s="78"/>
      <c r="D307" s="78"/>
      <c r="E307" s="78"/>
    </row>
    <row r="308" spans="2:5" x14ac:dyDescent="0.3">
      <c r="B308" s="78"/>
      <c r="C308" s="78"/>
      <c r="D308" s="78"/>
      <c r="E308" s="78"/>
    </row>
    <row r="309" spans="2:5" x14ac:dyDescent="0.3">
      <c r="B309" s="78"/>
      <c r="C309" s="78"/>
      <c r="D309" s="78"/>
      <c r="E309" s="78"/>
    </row>
    <row r="310" spans="2:5" x14ac:dyDescent="0.3">
      <c r="B310" s="78"/>
      <c r="C310" s="78"/>
      <c r="D310" s="78"/>
      <c r="E310" s="78"/>
    </row>
    <row r="311" spans="2:5" x14ac:dyDescent="0.3">
      <c r="B311" s="78"/>
      <c r="C311" s="78"/>
      <c r="D311" s="78"/>
      <c r="E311" s="78"/>
    </row>
    <row r="312" spans="2:5" x14ac:dyDescent="0.3">
      <c r="B312" s="78"/>
      <c r="C312" s="78"/>
      <c r="D312" s="78"/>
      <c r="E312" s="78"/>
    </row>
    <row r="313" spans="2:5" x14ac:dyDescent="0.3">
      <c r="B313" s="78"/>
      <c r="C313" s="78"/>
      <c r="D313" s="78"/>
      <c r="E313" s="78"/>
    </row>
    <row r="314" spans="2:5" x14ac:dyDescent="0.3">
      <c r="B314" s="78"/>
      <c r="C314" s="78"/>
      <c r="D314" s="78"/>
      <c r="E314" s="78"/>
    </row>
    <row r="315" spans="2:5" x14ac:dyDescent="0.3">
      <c r="B315" s="78"/>
      <c r="C315" s="78"/>
      <c r="D315" s="78"/>
      <c r="E315" s="78"/>
    </row>
    <row r="316" spans="2:5" x14ac:dyDescent="0.3">
      <c r="B316" s="78"/>
      <c r="C316" s="78"/>
      <c r="D316" s="78"/>
      <c r="E316" s="78"/>
    </row>
    <row r="317" spans="2:5" x14ac:dyDescent="0.3">
      <c r="B317" s="78"/>
      <c r="C317" s="78"/>
      <c r="D317" s="78"/>
      <c r="E317" s="78"/>
    </row>
    <row r="318" spans="2:5" x14ac:dyDescent="0.3">
      <c r="B318" s="78"/>
      <c r="C318" s="78"/>
      <c r="D318" s="78"/>
      <c r="E318" s="78"/>
    </row>
    <row r="319" spans="2:5" x14ac:dyDescent="0.3">
      <c r="B319" s="78"/>
      <c r="C319" s="78"/>
      <c r="D319" s="78"/>
      <c r="E319" s="78"/>
    </row>
    <row r="320" spans="2:5" x14ac:dyDescent="0.3">
      <c r="B320" s="78"/>
      <c r="C320" s="78"/>
      <c r="D320" s="78"/>
      <c r="E320" s="78"/>
    </row>
    <row r="321" spans="2:5" x14ac:dyDescent="0.3">
      <c r="B321" s="78"/>
      <c r="C321" s="78"/>
      <c r="D321" s="78"/>
      <c r="E321" s="78"/>
    </row>
    <row r="322" spans="2:5" x14ac:dyDescent="0.3">
      <c r="B322" s="78"/>
      <c r="C322" s="78"/>
      <c r="D322" s="78"/>
      <c r="E322" s="78"/>
    </row>
    <row r="323" spans="2:5" x14ac:dyDescent="0.3">
      <c r="B323" s="78"/>
      <c r="C323" s="78"/>
      <c r="D323" s="78"/>
      <c r="E323" s="78"/>
    </row>
    <row r="324" spans="2:5" x14ac:dyDescent="0.3">
      <c r="B324" s="78"/>
      <c r="C324" s="78"/>
      <c r="D324" s="78"/>
      <c r="E324" s="78"/>
    </row>
    <row r="325" spans="2:5" x14ac:dyDescent="0.3">
      <c r="B325" s="78"/>
      <c r="C325" s="78"/>
      <c r="D325" s="78"/>
      <c r="E325" s="78"/>
    </row>
    <row r="326" spans="2:5" x14ac:dyDescent="0.3">
      <c r="B326" s="78"/>
      <c r="C326" s="78"/>
      <c r="D326" s="78"/>
      <c r="E326" s="78"/>
    </row>
    <row r="327" spans="2:5" x14ac:dyDescent="0.3">
      <c r="B327" s="78"/>
      <c r="C327" s="78"/>
      <c r="D327" s="78"/>
      <c r="E327" s="78"/>
    </row>
    <row r="328" spans="2:5" x14ac:dyDescent="0.3">
      <c r="B328" s="78"/>
      <c r="C328" s="78"/>
      <c r="D328" s="78"/>
      <c r="E328" s="78"/>
    </row>
    <row r="329" spans="2:5" x14ac:dyDescent="0.3">
      <c r="B329" s="78"/>
      <c r="C329" s="78"/>
      <c r="D329" s="78"/>
      <c r="E329" s="78"/>
    </row>
    <row r="330" spans="2:5" x14ac:dyDescent="0.3">
      <c r="B330" s="78"/>
      <c r="C330" s="78"/>
      <c r="D330" s="78"/>
      <c r="E330" s="78"/>
    </row>
    <row r="331" spans="2:5" x14ac:dyDescent="0.3">
      <c r="B331" s="78"/>
      <c r="C331" s="78"/>
      <c r="D331" s="78"/>
      <c r="E331" s="78"/>
    </row>
    <row r="332" spans="2:5" x14ac:dyDescent="0.3">
      <c r="B332" s="78"/>
      <c r="C332" s="78"/>
      <c r="D332" s="78"/>
      <c r="E332" s="78"/>
    </row>
    <row r="333" spans="2:5" x14ac:dyDescent="0.3">
      <c r="B333" s="78"/>
      <c r="C333" s="78"/>
      <c r="D333" s="78"/>
      <c r="E333" s="78"/>
    </row>
    <row r="334" spans="2:5" x14ac:dyDescent="0.3">
      <c r="B334" s="78"/>
      <c r="C334" s="78"/>
      <c r="D334" s="78"/>
      <c r="E334" s="78"/>
    </row>
    <row r="335" spans="2:5" x14ac:dyDescent="0.3">
      <c r="B335" s="78"/>
      <c r="C335" s="78"/>
      <c r="D335" s="78"/>
      <c r="E335" s="78"/>
    </row>
    <row r="336" spans="2:5" x14ac:dyDescent="0.3">
      <c r="B336" s="78"/>
      <c r="C336" s="78"/>
      <c r="D336" s="78"/>
      <c r="E336" s="78"/>
    </row>
    <row r="337" spans="2:5" x14ac:dyDescent="0.3">
      <c r="B337" s="78"/>
      <c r="C337" s="78"/>
      <c r="D337" s="78"/>
      <c r="E337" s="78"/>
    </row>
    <row r="338" spans="2:5" x14ac:dyDescent="0.3">
      <c r="B338" s="78"/>
      <c r="C338" s="78"/>
      <c r="D338" s="78"/>
      <c r="E338" s="78"/>
    </row>
    <row r="339" spans="2:5" x14ac:dyDescent="0.3">
      <c r="B339" s="78"/>
      <c r="C339" s="78"/>
      <c r="D339" s="78"/>
      <c r="E339" s="78"/>
    </row>
    <row r="340" spans="2:5" x14ac:dyDescent="0.3">
      <c r="B340" s="78"/>
      <c r="C340" s="78"/>
      <c r="D340" s="78"/>
      <c r="E340" s="78"/>
    </row>
    <row r="341" spans="2:5" x14ac:dyDescent="0.3">
      <c r="B341" s="78"/>
      <c r="C341" s="78"/>
      <c r="D341" s="78"/>
      <c r="E341" s="78"/>
    </row>
    <row r="342" spans="2:5" x14ac:dyDescent="0.3">
      <c r="B342" s="78"/>
      <c r="C342" s="78"/>
      <c r="D342" s="78"/>
      <c r="E342" s="78"/>
    </row>
    <row r="343" spans="2:5" x14ac:dyDescent="0.3">
      <c r="B343" s="78"/>
      <c r="C343" s="78"/>
      <c r="D343" s="78"/>
      <c r="E343" s="78"/>
    </row>
    <row r="344" spans="2:5" x14ac:dyDescent="0.3">
      <c r="B344" s="78"/>
      <c r="C344" s="78"/>
      <c r="D344" s="78"/>
      <c r="E344" s="78"/>
    </row>
    <row r="345" spans="2:5" x14ac:dyDescent="0.3">
      <c r="B345" s="78"/>
      <c r="C345" s="78"/>
      <c r="D345" s="78"/>
      <c r="E345" s="78"/>
    </row>
    <row r="346" spans="2:5" x14ac:dyDescent="0.3">
      <c r="B346" s="78"/>
      <c r="C346" s="78"/>
      <c r="D346" s="78"/>
      <c r="E346" s="78"/>
    </row>
    <row r="347" spans="2:5" x14ac:dyDescent="0.3">
      <c r="B347" s="78"/>
      <c r="C347" s="78"/>
      <c r="D347" s="78"/>
      <c r="E347" s="78"/>
    </row>
    <row r="348" spans="2:5" x14ac:dyDescent="0.3">
      <c r="B348" s="78"/>
      <c r="C348" s="78"/>
      <c r="D348" s="78"/>
      <c r="E348" s="78"/>
    </row>
    <row r="349" spans="2:5" x14ac:dyDescent="0.3">
      <c r="B349" s="78"/>
      <c r="C349" s="78"/>
      <c r="D349" s="78"/>
      <c r="E349" s="78"/>
    </row>
    <row r="350" spans="2:5" x14ac:dyDescent="0.3">
      <c r="B350" s="78"/>
      <c r="C350" s="78"/>
      <c r="D350" s="78"/>
      <c r="E350" s="78"/>
    </row>
    <row r="351" spans="2:5" x14ac:dyDescent="0.3">
      <c r="B351" s="78"/>
      <c r="C351" s="78"/>
      <c r="D351" s="78"/>
      <c r="E351" s="78"/>
    </row>
    <row r="352" spans="2:5" x14ac:dyDescent="0.3">
      <c r="B352" s="78"/>
      <c r="C352" s="78"/>
      <c r="D352" s="78"/>
      <c r="E352" s="78"/>
    </row>
    <row r="353" spans="2:5" x14ac:dyDescent="0.3">
      <c r="B353" s="78"/>
      <c r="C353" s="78"/>
      <c r="D353" s="78"/>
      <c r="E353" s="78"/>
    </row>
    <row r="354" spans="2:5" x14ac:dyDescent="0.3">
      <c r="B354" s="78"/>
      <c r="C354" s="78"/>
      <c r="D354" s="78"/>
      <c r="E354" s="78"/>
    </row>
    <row r="355" spans="2:5" x14ac:dyDescent="0.3">
      <c r="B355" s="78"/>
      <c r="C355" s="78"/>
      <c r="D355" s="78"/>
      <c r="E355" s="78"/>
    </row>
    <row r="356" spans="2:5" x14ac:dyDescent="0.3">
      <c r="B356" s="78"/>
      <c r="C356" s="78"/>
      <c r="D356" s="78"/>
      <c r="E356" s="78"/>
    </row>
    <row r="357" spans="2:5" x14ac:dyDescent="0.3">
      <c r="B357" s="78"/>
      <c r="C357" s="78"/>
      <c r="D357" s="78"/>
      <c r="E357" s="78"/>
    </row>
    <row r="358" spans="2:5" x14ac:dyDescent="0.3">
      <c r="B358" s="78"/>
      <c r="C358" s="78"/>
      <c r="D358" s="78"/>
      <c r="E358" s="78"/>
    </row>
    <row r="359" spans="2:5" x14ac:dyDescent="0.3">
      <c r="B359" s="78"/>
      <c r="C359" s="78"/>
      <c r="D359" s="78"/>
      <c r="E359" s="78"/>
    </row>
    <row r="360" spans="2:5" x14ac:dyDescent="0.3">
      <c r="B360" s="78"/>
      <c r="C360" s="78"/>
      <c r="D360" s="78"/>
      <c r="E360" s="78"/>
    </row>
    <row r="361" spans="2:5" x14ac:dyDescent="0.3">
      <c r="B361" s="78"/>
      <c r="C361" s="78"/>
      <c r="D361" s="78"/>
      <c r="E361" s="78"/>
    </row>
    <row r="362" spans="2:5" x14ac:dyDescent="0.3">
      <c r="B362" s="78"/>
      <c r="C362" s="78"/>
      <c r="D362" s="78"/>
      <c r="E362" s="78"/>
    </row>
    <row r="363" spans="2:5" x14ac:dyDescent="0.3">
      <c r="B363" s="78"/>
      <c r="C363" s="78"/>
      <c r="D363" s="78"/>
      <c r="E363" s="78"/>
    </row>
    <row r="364" spans="2:5" x14ac:dyDescent="0.3">
      <c r="B364" s="78"/>
      <c r="C364" s="78"/>
      <c r="D364" s="78"/>
      <c r="E364" s="78"/>
    </row>
    <row r="365" spans="2:5" x14ac:dyDescent="0.3">
      <c r="B365" s="78"/>
      <c r="C365" s="78"/>
      <c r="D365" s="78"/>
      <c r="E365" s="78"/>
    </row>
    <row r="366" spans="2:5" x14ac:dyDescent="0.3">
      <c r="B366" s="78"/>
      <c r="C366" s="78"/>
      <c r="D366" s="78"/>
      <c r="E366" s="78"/>
    </row>
    <row r="367" spans="2:5" x14ac:dyDescent="0.3">
      <c r="B367" s="78"/>
      <c r="C367" s="78"/>
      <c r="D367" s="78"/>
      <c r="E367" s="78"/>
    </row>
    <row r="368" spans="2:5" x14ac:dyDescent="0.3">
      <c r="B368" s="78"/>
      <c r="C368" s="78"/>
      <c r="D368" s="78"/>
      <c r="E368" s="78"/>
    </row>
    <row r="369" spans="2:5" x14ac:dyDescent="0.3">
      <c r="B369" s="78"/>
      <c r="C369" s="78"/>
      <c r="D369" s="78"/>
      <c r="E369" s="78"/>
    </row>
    <row r="370" spans="2:5" x14ac:dyDescent="0.3">
      <c r="B370" s="78"/>
      <c r="C370" s="78"/>
      <c r="D370" s="78"/>
      <c r="E370" s="78"/>
    </row>
    <row r="371" spans="2:5" x14ac:dyDescent="0.3">
      <c r="B371" s="78"/>
      <c r="C371" s="78"/>
      <c r="D371" s="78"/>
      <c r="E371" s="78"/>
    </row>
    <row r="372" spans="2:5" x14ac:dyDescent="0.3">
      <c r="B372" s="78"/>
      <c r="C372" s="78"/>
      <c r="D372" s="78"/>
      <c r="E372" s="78"/>
    </row>
    <row r="373" spans="2:5" x14ac:dyDescent="0.3">
      <c r="B373" s="78"/>
      <c r="C373" s="78"/>
      <c r="D373" s="78"/>
      <c r="E373" s="78"/>
    </row>
    <row r="374" spans="2:5" x14ac:dyDescent="0.3">
      <c r="B374" s="78"/>
      <c r="C374" s="78"/>
      <c r="D374" s="78"/>
      <c r="E374" s="78"/>
    </row>
    <row r="375" spans="2:5" x14ac:dyDescent="0.3">
      <c r="B375" s="78"/>
      <c r="C375" s="78"/>
      <c r="D375" s="78"/>
      <c r="E375" s="78"/>
    </row>
    <row r="376" spans="2:5" x14ac:dyDescent="0.3">
      <c r="B376" s="78"/>
      <c r="C376" s="78"/>
      <c r="D376" s="78"/>
      <c r="E376" s="78"/>
    </row>
    <row r="377" spans="2:5" x14ac:dyDescent="0.3">
      <c r="B377" s="78"/>
      <c r="C377" s="78"/>
      <c r="D377" s="78"/>
      <c r="E377" s="78"/>
    </row>
    <row r="378" spans="2:5" x14ac:dyDescent="0.3">
      <c r="B378" s="78"/>
      <c r="C378" s="78"/>
      <c r="D378" s="78"/>
      <c r="E378" s="78"/>
    </row>
    <row r="379" spans="2:5" x14ac:dyDescent="0.3">
      <c r="B379" s="78"/>
      <c r="C379" s="78"/>
      <c r="D379" s="78"/>
      <c r="E379" s="78"/>
    </row>
    <row r="380" spans="2:5" x14ac:dyDescent="0.3">
      <c r="B380" s="78"/>
      <c r="C380" s="78"/>
      <c r="D380" s="78"/>
      <c r="E380" s="78"/>
    </row>
    <row r="381" spans="2:5" x14ac:dyDescent="0.3">
      <c r="B381" s="78"/>
      <c r="C381" s="78"/>
      <c r="D381" s="78"/>
      <c r="E381" s="78"/>
    </row>
    <row r="382" spans="2:5" x14ac:dyDescent="0.3">
      <c r="B382" s="78"/>
      <c r="C382" s="78"/>
      <c r="D382" s="78"/>
      <c r="E382" s="78"/>
    </row>
    <row r="383" spans="2:5" x14ac:dyDescent="0.3">
      <c r="B383" s="78"/>
      <c r="C383" s="78"/>
      <c r="D383" s="78"/>
      <c r="E383" s="78"/>
    </row>
    <row r="384" spans="2:5" x14ac:dyDescent="0.3">
      <c r="B384" s="78"/>
      <c r="C384" s="78"/>
      <c r="D384" s="78"/>
      <c r="E384" s="78"/>
    </row>
    <row r="385" spans="2:5" x14ac:dyDescent="0.3">
      <c r="B385" s="78"/>
      <c r="C385" s="78"/>
      <c r="D385" s="78"/>
      <c r="E385" s="78"/>
    </row>
    <row r="386" spans="2:5" x14ac:dyDescent="0.3">
      <c r="B386" s="78"/>
      <c r="C386" s="78"/>
      <c r="D386" s="78"/>
      <c r="E386" s="78"/>
    </row>
    <row r="387" spans="2:5" x14ac:dyDescent="0.3">
      <c r="B387" s="78"/>
      <c r="C387" s="78"/>
      <c r="D387" s="78"/>
      <c r="E387" s="78"/>
    </row>
    <row r="388" spans="2:5" x14ac:dyDescent="0.3">
      <c r="B388" s="78"/>
      <c r="C388" s="78"/>
      <c r="D388" s="78"/>
      <c r="E388" s="78"/>
    </row>
    <row r="389" spans="2:5" x14ac:dyDescent="0.3">
      <c r="B389" s="78"/>
      <c r="C389" s="78"/>
      <c r="D389" s="78"/>
      <c r="E389" s="78"/>
    </row>
    <row r="390" spans="2:5" x14ac:dyDescent="0.3">
      <c r="B390" s="78"/>
      <c r="C390" s="78"/>
      <c r="D390" s="78"/>
      <c r="E390" s="78"/>
    </row>
    <row r="391" spans="2:5" x14ac:dyDescent="0.3">
      <c r="B391" s="78"/>
      <c r="C391" s="78"/>
      <c r="D391" s="78"/>
      <c r="E391" s="78"/>
    </row>
    <row r="392" spans="2:5" x14ac:dyDescent="0.3">
      <c r="B392" s="78"/>
      <c r="C392" s="78"/>
      <c r="D392" s="78"/>
      <c r="E392" s="78"/>
    </row>
    <row r="393" spans="2:5" x14ac:dyDescent="0.3">
      <c r="B393" s="78"/>
      <c r="C393" s="78"/>
      <c r="D393" s="78"/>
      <c r="E393" s="78"/>
    </row>
    <row r="394" spans="2:5" x14ac:dyDescent="0.3">
      <c r="B394" s="78"/>
      <c r="C394" s="78"/>
      <c r="D394" s="78"/>
      <c r="E394" s="78"/>
    </row>
    <row r="395" spans="2:5" x14ac:dyDescent="0.3">
      <c r="B395" s="78"/>
      <c r="C395" s="78"/>
      <c r="D395" s="78"/>
      <c r="E395" s="78"/>
    </row>
    <row r="396" spans="2:5" x14ac:dyDescent="0.3">
      <c r="B396" s="78"/>
      <c r="C396" s="78"/>
      <c r="D396" s="78"/>
      <c r="E396" s="78"/>
    </row>
    <row r="397" spans="2:5" x14ac:dyDescent="0.3">
      <c r="B397" s="78"/>
      <c r="C397" s="78"/>
      <c r="D397" s="78"/>
      <c r="E397" s="78"/>
    </row>
    <row r="398" spans="2:5" x14ac:dyDescent="0.3">
      <c r="B398" s="78"/>
      <c r="C398" s="78"/>
      <c r="D398" s="78"/>
      <c r="E398" s="78"/>
    </row>
    <row r="399" spans="2:5" x14ac:dyDescent="0.3">
      <c r="B399" s="78"/>
      <c r="C399" s="78"/>
      <c r="D399" s="78"/>
      <c r="E399" s="78"/>
    </row>
    <row r="400" spans="2:5" x14ac:dyDescent="0.3">
      <c r="B400" s="78"/>
      <c r="C400" s="78"/>
      <c r="D400" s="78"/>
      <c r="E400" s="78"/>
    </row>
    <row r="401" spans="2:5" x14ac:dyDescent="0.3">
      <c r="B401" s="78"/>
      <c r="C401" s="78"/>
      <c r="D401" s="78"/>
      <c r="E401" s="78"/>
    </row>
    <row r="402" spans="2:5" x14ac:dyDescent="0.3">
      <c r="B402" s="78"/>
      <c r="C402" s="78"/>
      <c r="D402" s="78"/>
      <c r="E402" s="78"/>
    </row>
    <row r="403" spans="2:5" x14ac:dyDescent="0.3">
      <c r="B403" s="78"/>
      <c r="C403" s="78"/>
      <c r="D403" s="78"/>
      <c r="E403" s="78"/>
    </row>
    <row r="404" spans="2:5" x14ac:dyDescent="0.3">
      <c r="B404" s="78"/>
      <c r="C404" s="78"/>
      <c r="D404" s="78"/>
      <c r="E404" s="78"/>
    </row>
    <row r="405" spans="2:5" x14ac:dyDescent="0.3">
      <c r="B405" s="78"/>
      <c r="C405" s="78"/>
      <c r="D405" s="78"/>
      <c r="E405" s="78"/>
    </row>
    <row r="406" spans="2:5" x14ac:dyDescent="0.3">
      <c r="B406" s="78"/>
      <c r="C406" s="78"/>
      <c r="D406" s="78"/>
      <c r="E406" s="78"/>
    </row>
    <row r="407" spans="2:5" x14ac:dyDescent="0.3">
      <c r="B407" s="78"/>
      <c r="C407" s="78"/>
      <c r="D407" s="78"/>
      <c r="E407" s="78"/>
    </row>
    <row r="408" spans="2:5" x14ac:dyDescent="0.3">
      <c r="B408" s="78"/>
      <c r="C408" s="78"/>
      <c r="D408" s="78"/>
      <c r="E408" s="78"/>
    </row>
    <row r="409" spans="2:5" x14ac:dyDescent="0.3">
      <c r="B409" s="78"/>
      <c r="C409" s="78"/>
      <c r="D409" s="78"/>
      <c r="E409" s="78"/>
    </row>
    <row r="410" spans="2:5" x14ac:dyDescent="0.3">
      <c r="B410" s="78"/>
      <c r="C410" s="78"/>
      <c r="D410" s="78"/>
      <c r="E410" s="78"/>
    </row>
    <row r="411" spans="2:5" x14ac:dyDescent="0.3">
      <c r="B411" s="78"/>
      <c r="C411" s="78"/>
      <c r="D411" s="78"/>
      <c r="E411" s="78"/>
    </row>
    <row r="412" spans="2:5" x14ac:dyDescent="0.3">
      <c r="B412" s="78"/>
      <c r="C412" s="78"/>
      <c r="D412" s="78"/>
      <c r="E412" s="78"/>
    </row>
    <row r="413" spans="2:5" x14ac:dyDescent="0.3">
      <c r="B413" s="78"/>
      <c r="C413" s="78"/>
      <c r="D413" s="78"/>
      <c r="E413" s="78"/>
    </row>
    <row r="414" spans="2:5" x14ac:dyDescent="0.3">
      <c r="B414" s="78"/>
      <c r="C414" s="78"/>
      <c r="D414" s="78"/>
      <c r="E414" s="78"/>
    </row>
    <row r="415" spans="2:5" x14ac:dyDescent="0.3">
      <c r="B415" s="78"/>
      <c r="C415" s="78"/>
      <c r="D415" s="78"/>
      <c r="E415" s="78"/>
    </row>
    <row r="416" spans="2:5" x14ac:dyDescent="0.3">
      <c r="B416" s="78"/>
      <c r="C416" s="78"/>
      <c r="D416" s="78"/>
      <c r="E416" s="78"/>
    </row>
    <row r="417" spans="2:5" x14ac:dyDescent="0.3">
      <c r="B417" s="78"/>
      <c r="C417" s="78"/>
      <c r="D417" s="78"/>
      <c r="E417" s="78"/>
    </row>
    <row r="418" spans="2:5" x14ac:dyDescent="0.3">
      <c r="B418" s="78"/>
      <c r="C418" s="78"/>
      <c r="D418" s="78"/>
      <c r="E418" s="78"/>
    </row>
    <row r="419" spans="2:5" x14ac:dyDescent="0.3">
      <c r="B419" s="78"/>
      <c r="C419" s="78"/>
      <c r="D419" s="78"/>
      <c r="E419" s="78"/>
    </row>
    <row r="420" spans="2:5" x14ac:dyDescent="0.3">
      <c r="B420" s="78"/>
      <c r="C420" s="78"/>
      <c r="D420" s="78"/>
      <c r="E420" s="78"/>
    </row>
    <row r="421" spans="2:5" x14ac:dyDescent="0.3">
      <c r="B421" s="78"/>
      <c r="C421" s="78"/>
      <c r="D421" s="78"/>
      <c r="E421" s="78"/>
    </row>
    <row r="422" spans="2:5" x14ac:dyDescent="0.3">
      <c r="B422" s="78"/>
      <c r="C422" s="78"/>
      <c r="D422" s="78"/>
      <c r="E422" s="78"/>
    </row>
    <row r="423" spans="2:5" x14ac:dyDescent="0.3">
      <c r="B423" s="78"/>
      <c r="C423" s="78"/>
      <c r="D423" s="78"/>
      <c r="E423" s="78"/>
    </row>
    <row r="424" spans="2:5" x14ac:dyDescent="0.3">
      <c r="B424" s="78"/>
      <c r="C424" s="78"/>
      <c r="D424" s="78"/>
      <c r="E424" s="78"/>
    </row>
    <row r="425" spans="2:5" x14ac:dyDescent="0.3">
      <c r="B425" s="78"/>
      <c r="C425" s="78"/>
      <c r="D425" s="78"/>
      <c r="E425" s="78"/>
    </row>
    <row r="426" spans="2:5" x14ac:dyDescent="0.3">
      <c r="B426" s="78"/>
      <c r="C426" s="78"/>
      <c r="D426" s="78"/>
      <c r="E426" s="78"/>
    </row>
    <row r="427" spans="2:5" x14ac:dyDescent="0.3">
      <c r="B427" s="78"/>
      <c r="C427" s="78"/>
      <c r="D427" s="78"/>
      <c r="E427" s="78"/>
    </row>
    <row r="428" spans="2:5" x14ac:dyDescent="0.3">
      <c r="B428" s="78"/>
      <c r="C428" s="78"/>
      <c r="D428" s="78"/>
      <c r="E428" s="78"/>
    </row>
    <row r="429" spans="2:5" x14ac:dyDescent="0.3">
      <c r="B429" s="78"/>
      <c r="C429" s="78"/>
      <c r="D429" s="78"/>
      <c r="E429" s="78"/>
    </row>
    <row r="430" spans="2:5" x14ac:dyDescent="0.3">
      <c r="B430" s="78"/>
      <c r="C430" s="78"/>
      <c r="D430" s="78"/>
      <c r="E430" s="78"/>
    </row>
    <row r="431" spans="2:5" x14ac:dyDescent="0.3">
      <c r="B431" s="78"/>
      <c r="C431" s="78"/>
      <c r="D431" s="78"/>
      <c r="E431" s="78"/>
    </row>
    <row r="432" spans="2:5" x14ac:dyDescent="0.3">
      <c r="B432" s="78"/>
      <c r="C432" s="78"/>
      <c r="D432" s="78"/>
      <c r="E432" s="78"/>
    </row>
    <row r="433" spans="2:5" x14ac:dyDescent="0.3">
      <c r="B433" s="78"/>
      <c r="C433" s="78"/>
      <c r="D433" s="78"/>
      <c r="E433" s="78"/>
    </row>
    <row r="434" spans="2:5" x14ac:dyDescent="0.3">
      <c r="B434" s="78"/>
      <c r="C434" s="78"/>
      <c r="D434" s="78"/>
      <c r="E434" s="78"/>
    </row>
    <row r="435" spans="2:5" x14ac:dyDescent="0.3">
      <c r="B435" s="78"/>
      <c r="C435" s="78"/>
      <c r="D435" s="78"/>
      <c r="E435" s="78"/>
    </row>
    <row r="436" spans="2:5" x14ac:dyDescent="0.3">
      <c r="B436" s="78"/>
      <c r="C436" s="78"/>
      <c r="D436" s="78"/>
      <c r="E436" s="78"/>
    </row>
    <row r="437" spans="2:5" x14ac:dyDescent="0.3">
      <c r="B437" s="78"/>
      <c r="C437" s="78"/>
      <c r="D437" s="78"/>
      <c r="E437" s="78"/>
    </row>
    <row r="438" spans="2:5" x14ac:dyDescent="0.3">
      <c r="B438" s="78"/>
      <c r="C438" s="78"/>
      <c r="D438" s="78"/>
      <c r="E438" s="78"/>
    </row>
    <row r="439" spans="2:5" x14ac:dyDescent="0.3">
      <c r="B439" s="78"/>
      <c r="C439" s="78"/>
      <c r="D439" s="78"/>
      <c r="E439" s="78"/>
    </row>
    <row r="440" spans="2:5" x14ac:dyDescent="0.3">
      <c r="B440" s="78"/>
      <c r="C440" s="78"/>
      <c r="D440" s="78"/>
      <c r="E440" s="78"/>
    </row>
    <row r="441" spans="2:5" x14ac:dyDescent="0.3">
      <c r="B441" s="78"/>
      <c r="C441" s="78"/>
      <c r="D441" s="78"/>
      <c r="E441" s="78"/>
    </row>
    <row r="442" spans="2:5" x14ac:dyDescent="0.3">
      <c r="B442" s="78"/>
      <c r="C442" s="78"/>
      <c r="D442" s="78"/>
      <c r="E442" s="78"/>
    </row>
    <row r="443" spans="2:5" x14ac:dyDescent="0.3">
      <c r="B443" s="78"/>
      <c r="C443" s="78"/>
      <c r="D443" s="78"/>
      <c r="E443" s="78"/>
    </row>
    <row r="444" spans="2:5" x14ac:dyDescent="0.3">
      <c r="B444" s="78"/>
      <c r="C444" s="78"/>
      <c r="D444" s="78"/>
      <c r="E444" s="78"/>
    </row>
    <row r="445" spans="2:5" x14ac:dyDescent="0.3">
      <c r="B445" s="78"/>
      <c r="C445" s="78"/>
      <c r="D445" s="78"/>
      <c r="E445" s="78"/>
    </row>
    <row r="446" spans="2:5" x14ac:dyDescent="0.3">
      <c r="B446" s="78"/>
      <c r="C446" s="78"/>
      <c r="D446" s="78"/>
      <c r="E446" s="78"/>
    </row>
    <row r="447" spans="2:5" x14ac:dyDescent="0.3">
      <c r="B447" s="78"/>
      <c r="C447" s="78"/>
      <c r="D447" s="78"/>
      <c r="E447" s="78"/>
    </row>
    <row r="448" spans="2:5" x14ac:dyDescent="0.3">
      <c r="B448" s="78"/>
      <c r="C448" s="78"/>
      <c r="D448" s="78"/>
      <c r="E448" s="78"/>
    </row>
    <row r="449" spans="2:5" x14ac:dyDescent="0.3">
      <c r="B449" s="78"/>
      <c r="C449" s="78"/>
      <c r="D449" s="78"/>
      <c r="E449" s="78"/>
    </row>
    <row r="450" spans="2:5" x14ac:dyDescent="0.3">
      <c r="B450" s="78"/>
      <c r="C450" s="78"/>
      <c r="D450" s="78"/>
      <c r="E450" s="78"/>
    </row>
    <row r="451" spans="2:5" x14ac:dyDescent="0.3">
      <c r="B451" s="78"/>
      <c r="C451" s="78"/>
      <c r="D451" s="78"/>
      <c r="E451" s="78"/>
    </row>
    <row r="452" spans="2:5" x14ac:dyDescent="0.3">
      <c r="B452" s="78"/>
      <c r="C452" s="78"/>
      <c r="D452" s="78"/>
      <c r="E452" s="78"/>
    </row>
    <row r="453" spans="2:5" x14ac:dyDescent="0.3">
      <c r="B453" s="78"/>
      <c r="C453" s="78"/>
      <c r="D453" s="78"/>
      <c r="E453" s="78"/>
    </row>
    <row r="454" spans="2:5" x14ac:dyDescent="0.3">
      <c r="B454" s="78"/>
      <c r="C454" s="78"/>
      <c r="D454" s="78"/>
      <c r="E454" s="78"/>
    </row>
    <row r="455" spans="2:5" x14ac:dyDescent="0.3">
      <c r="B455" s="78"/>
      <c r="C455" s="78"/>
      <c r="D455" s="78"/>
      <c r="E455" s="78"/>
    </row>
    <row r="456" spans="2:5" x14ac:dyDescent="0.3">
      <c r="B456" s="78"/>
      <c r="C456" s="78"/>
      <c r="D456" s="78"/>
      <c r="E456" s="78"/>
    </row>
    <row r="457" spans="2:5" x14ac:dyDescent="0.3">
      <c r="B457" s="78"/>
      <c r="C457" s="78"/>
      <c r="D457" s="78"/>
      <c r="E457" s="78"/>
    </row>
    <row r="458" spans="2:5" x14ac:dyDescent="0.3">
      <c r="B458" s="78"/>
      <c r="C458" s="78"/>
      <c r="D458" s="78"/>
      <c r="E458" s="78"/>
    </row>
    <row r="459" spans="2:5" x14ac:dyDescent="0.3">
      <c r="B459" s="78"/>
      <c r="C459" s="78"/>
      <c r="D459" s="78"/>
      <c r="E459" s="78"/>
    </row>
    <row r="460" spans="2:5" x14ac:dyDescent="0.3">
      <c r="B460" s="78"/>
      <c r="C460" s="78"/>
      <c r="D460" s="78"/>
      <c r="E460" s="78"/>
    </row>
    <row r="461" spans="2:5" x14ac:dyDescent="0.3">
      <c r="B461" s="78"/>
      <c r="C461" s="78"/>
      <c r="D461" s="78"/>
      <c r="E461" s="78"/>
    </row>
    <row r="462" spans="2:5" x14ac:dyDescent="0.3">
      <c r="B462" s="78"/>
      <c r="C462" s="78"/>
      <c r="D462" s="78"/>
      <c r="E462" s="78"/>
    </row>
    <row r="463" spans="2:5" x14ac:dyDescent="0.3">
      <c r="B463" s="78"/>
      <c r="C463" s="78"/>
      <c r="D463" s="78"/>
      <c r="E463" s="78"/>
    </row>
    <row r="464" spans="2:5" x14ac:dyDescent="0.3">
      <c r="B464" s="78"/>
      <c r="C464" s="78"/>
      <c r="D464" s="78"/>
      <c r="E464" s="78"/>
    </row>
    <row r="465" spans="2:5" x14ac:dyDescent="0.3">
      <c r="B465" s="78"/>
      <c r="C465" s="78"/>
      <c r="D465" s="78"/>
      <c r="E465" s="78"/>
    </row>
    <row r="466" spans="2:5" x14ac:dyDescent="0.3">
      <c r="B466" s="78"/>
      <c r="C466" s="78"/>
      <c r="D466" s="78"/>
      <c r="E466" s="78"/>
    </row>
    <row r="467" spans="2:5" x14ac:dyDescent="0.3">
      <c r="B467" s="78"/>
      <c r="C467" s="78"/>
      <c r="D467" s="78"/>
      <c r="E467" s="78"/>
    </row>
    <row r="468" spans="2:5" x14ac:dyDescent="0.3">
      <c r="B468" s="78"/>
      <c r="C468" s="78"/>
      <c r="D468" s="78"/>
      <c r="E468" s="78"/>
    </row>
    <row r="469" spans="2:5" x14ac:dyDescent="0.3">
      <c r="B469" s="78"/>
      <c r="C469" s="78"/>
      <c r="D469" s="78"/>
      <c r="E469" s="78"/>
    </row>
    <row r="470" spans="2:5" x14ac:dyDescent="0.3">
      <c r="B470" s="78"/>
      <c r="C470" s="78"/>
      <c r="D470" s="78"/>
      <c r="E470" s="78"/>
    </row>
    <row r="471" spans="2:5" x14ac:dyDescent="0.3">
      <c r="B471" s="78"/>
      <c r="C471" s="78"/>
      <c r="D471" s="78"/>
      <c r="E471" s="78"/>
    </row>
    <row r="472" spans="2:5" x14ac:dyDescent="0.3">
      <c r="B472" s="78"/>
      <c r="C472" s="78"/>
      <c r="D472" s="78"/>
      <c r="E472" s="78"/>
    </row>
    <row r="473" spans="2:5" x14ac:dyDescent="0.3">
      <c r="B473" s="78"/>
      <c r="C473" s="78"/>
      <c r="D473" s="78"/>
      <c r="E473" s="78"/>
    </row>
    <row r="474" spans="2:5" x14ac:dyDescent="0.3">
      <c r="B474" s="78"/>
      <c r="C474" s="78"/>
      <c r="D474" s="78"/>
      <c r="E474" s="78"/>
    </row>
    <row r="475" spans="2:5" x14ac:dyDescent="0.3">
      <c r="B475" s="78"/>
      <c r="C475" s="78"/>
      <c r="D475" s="78"/>
      <c r="E475" s="78"/>
    </row>
    <row r="476" spans="2:5" x14ac:dyDescent="0.3">
      <c r="B476" s="78"/>
      <c r="C476" s="78"/>
      <c r="D476" s="78"/>
      <c r="E476" s="78"/>
    </row>
    <row r="477" spans="2:5" x14ac:dyDescent="0.3">
      <c r="B477" s="78"/>
      <c r="C477" s="78"/>
      <c r="D477" s="78"/>
      <c r="E477" s="78"/>
    </row>
    <row r="478" spans="2:5" x14ac:dyDescent="0.3">
      <c r="B478" s="78"/>
      <c r="C478" s="78"/>
      <c r="D478" s="78"/>
      <c r="E478" s="78"/>
    </row>
    <row r="479" spans="2:5" x14ac:dyDescent="0.3">
      <c r="B479" s="78"/>
      <c r="C479" s="78"/>
      <c r="D479" s="78"/>
      <c r="E479" s="78"/>
    </row>
    <row r="480" spans="2:5" x14ac:dyDescent="0.3">
      <c r="B480" s="78"/>
      <c r="C480" s="78"/>
      <c r="D480" s="78"/>
      <c r="E480" s="78"/>
    </row>
    <row r="481" spans="2:5" x14ac:dyDescent="0.3">
      <c r="B481" s="78"/>
      <c r="C481" s="78"/>
      <c r="D481" s="78"/>
      <c r="E481" s="78"/>
    </row>
    <row r="482" spans="2:5" x14ac:dyDescent="0.3">
      <c r="B482" s="78"/>
      <c r="C482" s="78"/>
      <c r="D482" s="78"/>
      <c r="E482" s="78"/>
    </row>
    <row r="483" spans="2:5" x14ac:dyDescent="0.3">
      <c r="B483" s="78"/>
      <c r="C483" s="78"/>
      <c r="D483" s="78"/>
      <c r="E483" s="78"/>
    </row>
    <row r="484" spans="2:5" x14ac:dyDescent="0.3">
      <c r="B484" s="78"/>
      <c r="C484" s="78"/>
      <c r="D484" s="78"/>
      <c r="E484" s="78"/>
    </row>
    <row r="485" spans="2:5" x14ac:dyDescent="0.3">
      <c r="B485" s="78"/>
      <c r="C485" s="78"/>
      <c r="D485" s="78"/>
      <c r="E485" s="78"/>
    </row>
    <row r="486" spans="2:5" x14ac:dyDescent="0.3">
      <c r="B486" s="78"/>
      <c r="C486" s="78"/>
      <c r="D486" s="78"/>
      <c r="E486" s="78"/>
    </row>
    <row r="487" spans="2:5" x14ac:dyDescent="0.3">
      <c r="B487" s="78"/>
      <c r="C487" s="78"/>
      <c r="D487" s="78"/>
      <c r="E487" s="78"/>
    </row>
    <row r="488" spans="2:5" x14ac:dyDescent="0.3">
      <c r="B488" s="78"/>
      <c r="C488" s="78"/>
      <c r="D488" s="78"/>
      <c r="E488" s="78"/>
    </row>
    <row r="489" spans="2:5" x14ac:dyDescent="0.3">
      <c r="B489" s="78"/>
      <c r="C489" s="78"/>
      <c r="D489" s="78"/>
      <c r="E489" s="78"/>
    </row>
    <row r="490" spans="2:5" x14ac:dyDescent="0.3">
      <c r="B490" s="78"/>
      <c r="C490" s="78"/>
      <c r="D490" s="78"/>
      <c r="E490" s="78"/>
    </row>
    <row r="491" spans="2:5" x14ac:dyDescent="0.3">
      <c r="B491" s="78"/>
      <c r="C491" s="78"/>
      <c r="D491" s="78"/>
      <c r="E491" s="78"/>
    </row>
    <row r="492" spans="2:5" x14ac:dyDescent="0.3">
      <c r="B492" s="78"/>
      <c r="C492" s="78"/>
      <c r="D492" s="78"/>
      <c r="E492" s="78"/>
    </row>
    <row r="493" spans="2:5" x14ac:dyDescent="0.3">
      <c r="B493" s="78"/>
      <c r="C493" s="78"/>
      <c r="D493" s="78"/>
      <c r="E493" s="78"/>
    </row>
    <row r="494" spans="2:5" x14ac:dyDescent="0.3">
      <c r="B494" s="78"/>
      <c r="C494" s="78"/>
      <c r="D494" s="78"/>
      <c r="E494" s="78"/>
    </row>
    <row r="495" spans="2:5" x14ac:dyDescent="0.3">
      <c r="B495" s="78"/>
      <c r="C495" s="78"/>
      <c r="D495" s="78"/>
      <c r="E495" s="78"/>
    </row>
    <row r="496" spans="2:5" x14ac:dyDescent="0.3">
      <c r="B496" s="78"/>
      <c r="C496" s="78"/>
      <c r="D496" s="78"/>
      <c r="E496" s="78"/>
    </row>
    <row r="497" spans="2:5" x14ac:dyDescent="0.3">
      <c r="B497" s="78"/>
      <c r="C497" s="78"/>
      <c r="D497" s="78"/>
      <c r="E497" s="78"/>
    </row>
    <row r="498" spans="2:5" x14ac:dyDescent="0.3">
      <c r="B498" s="78"/>
      <c r="C498" s="78"/>
      <c r="D498" s="78"/>
      <c r="E498" s="78"/>
    </row>
    <row r="499" spans="2:5" x14ac:dyDescent="0.3">
      <c r="B499" s="78"/>
      <c r="C499" s="78"/>
      <c r="D499" s="78"/>
      <c r="E499" s="78"/>
    </row>
    <row r="500" spans="2:5" x14ac:dyDescent="0.3">
      <c r="B500" s="78"/>
      <c r="C500" s="78"/>
      <c r="D500" s="78"/>
      <c r="E500" s="78"/>
    </row>
    <row r="501" spans="2:5" x14ac:dyDescent="0.3">
      <c r="B501" s="78"/>
      <c r="C501" s="78"/>
      <c r="D501" s="78"/>
      <c r="E501" s="78"/>
    </row>
    <row r="502" spans="2:5" x14ac:dyDescent="0.3">
      <c r="B502" s="78"/>
      <c r="C502" s="78"/>
      <c r="D502" s="78"/>
      <c r="E502" s="78"/>
    </row>
    <row r="503" spans="2:5" x14ac:dyDescent="0.3">
      <c r="B503" s="78"/>
      <c r="C503" s="78"/>
      <c r="D503" s="78"/>
      <c r="E503" s="78"/>
    </row>
    <row r="504" spans="2:5" x14ac:dyDescent="0.3">
      <c r="B504" s="78"/>
      <c r="C504" s="78"/>
      <c r="D504" s="78"/>
      <c r="E504" s="78"/>
    </row>
    <row r="505" spans="2:5" x14ac:dyDescent="0.3">
      <c r="B505" s="78"/>
      <c r="C505" s="78"/>
      <c r="D505" s="78"/>
      <c r="E505" s="78"/>
    </row>
    <row r="506" spans="2:5" x14ac:dyDescent="0.3">
      <c r="B506" s="78"/>
      <c r="C506" s="78"/>
      <c r="D506" s="78"/>
      <c r="E506" s="78"/>
    </row>
    <row r="507" spans="2:5" x14ac:dyDescent="0.3">
      <c r="B507" s="78"/>
      <c r="C507" s="78"/>
      <c r="D507" s="78"/>
      <c r="E507" s="78"/>
    </row>
    <row r="508" spans="2:5" x14ac:dyDescent="0.3">
      <c r="B508" s="78"/>
      <c r="C508" s="78"/>
      <c r="D508" s="78"/>
      <c r="E508" s="78"/>
    </row>
    <row r="509" spans="2:5" x14ac:dyDescent="0.3">
      <c r="B509" s="78"/>
      <c r="C509" s="78"/>
      <c r="D509" s="78"/>
      <c r="E509" s="78"/>
    </row>
    <row r="510" spans="2:5" x14ac:dyDescent="0.3">
      <c r="B510" s="78"/>
      <c r="C510" s="78"/>
      <c r="D510" s="78"/>
      <c r="E510" s="78"/>
    </row>
    <row r="511" spans="2:5" x14ac:dyDescent="0.3">
      <c r="B511" s="78"/>
      <c r="C511" s="78"/>
      <c r="D511" s="78"/>
      <c r="E511" s="78"/>
    </row>
    <row r="512" spans="2:5" x14ac:dyDescent="0.3">
      <c r="B512" s="78"/>
      <c r="C512" s="78"/>
      <c r="D512" s="78"/>
      <c r="E512" s="78"/>
    </row>
    <row r="513" spans="2:5" x14ac:dyDescent="0.3">
      <c r="B513" s="78"/>
      <c r="C513" s="78"/>
      <c r="D513" s="78"/>
      <c r="E513" s="78"/>
    </row>
    <row r="514" spans="2:5" x14ac:dyDescent="0.3">
      <c r="B514" s="78"/>
      <c r="C514" s="78"/>
      <c r="D514" s="78"/>
      <c r="E514" s="78"/>
    </row>
    <row r="515" spans="2:5" x14ac:dyDescent="0.3">
      <c r="B515" s="78"/>
      <c r="C515" s="78"/>
      <c r="D515" s="78"/>
      <c r="E515" s="78"/>
    </row>
    <row r="516" spans="2:5" x14ac:dyDescent="0.3">
      <c r="B516" s="78"/>
      <c r="C516" s="78"/>
      <c r="D516" s="78"/>
      <c r="E516" s="78"/>
    </row>
    <row r="517" spans="2:5" x14ac:dyDescent="0.3">
      <c r="B517" s="78"/>
      <c r="C517" s="78"/>
      <c r="D517" s="78"/>
      <c r="E517" s="78"/>
    </row>
    <row r="518" spans="2:5" x14ac:dyDescent="0.3">
      <c r="B518" s="78"/>
      <c r="C518" s="78"/>
      <c r="D518" s="78"/>
      <c r="E518" s="78"/>
    </row>
    <row r="519" spans="2:5" x14ac:dyDescent="0.3">
      <c r="B519" s="78"/>
      <c r="C519" s="78"/>
      <c r="D519" s="78"/>
      <c r="E519" s="78"/>
    </row>
    <row r="520" spans="2:5" x14ac:dyDescent="0.3">
      <c r="B520" s="78"/>
      <c r="C520" s="78"/>
      <c r="D520" s="78"/>
      <c r="E520" s="78"/>
    </row>
    <row r="521" spans="2:5" x14ac:dyDescent="0.3">
      <c r="B521" s="78"/>
      <c r="C521" s="78"/>
      <c r="D521" s="78"/>
      <c r="E521" s="78"/>
    </row>
    <row r="522" spans="2:5" x14ac:dyDescent="0.3">
      <c r="B522" s="78"/>
      <c r="C522" s="78"/>
      <c r="D522" s="78"/>
      <c r="E522" s="78"/>
    </row>
    <row r="523" spans="2:5" x14ac:dyDescent="0.3">
      <c r="B523" s="78"/>
      <c r="C523" s="78"/>
      <c r="D523" s="78"/>
      <c r="E523" s="78"/>
    </row>
    <row r="524" spans="2:5" x14ac:dyDescent="0.3">
      <c r="B524" s="78"/>
      <c r="C524" s="78"/>
      <c r="D524" s="78"/>
      <c r="E524" s="78"/>
    </row>
    <row r="525" spans="2:5" x14ac:dyDescent="0.3">
      <c r="B525" s="78"/>
      <c r="C525" s="78"/>
      <c r="D525" s="78"/>
      <c r="E525" s="78"/>
    </row>
    <row r="526" spans="2:5" x14ac:dyDescent="0.3">
      <c r="B526" s="78"/>
      <c r="C526" s="78"/>
      <c r="D526" s="78"/>
      <c r="E526" s="78"/>
    </row>
    <row r="527" spans="2:5" x14ac:dyDescent="0.3">
      <c r="B527" s="78"/>
      <c r="C527" s="78"/>
      <c r="D527" s="78"/>
      <c r="E527" s="78"/>
    </row>
    <row r="528" spans="2:5" x14ac:dyDescent="0.3">
      <c r="B528" s="78"/>
      <c r="C528" s="78"/>
      <c r="D528" s="78"/>
      <c r="E528" s="78"/>
    </row>
    <row r="529" spans="2:5" x14ac:dyDescent="0.3">
      <c r="B529" s="78"/>
      <c r="C529" s="78"/>
      <c r="D529" s="78"/>
      <c r="E529" s="78"/>
    </row>
    <row r="530" spans="2:5" x14ac:dyDescent="0.3">
      <c r="B530" s="78"/>
      <c r="C530" s="78"/>
      <c r="D530" s="78"/>
      <c r="E530" s="78"/>
    </row>
    <row r="531" spans="2:5" x14ac:dyDescent="0.3">
      <c r="B531" s="78"/>
      <c r="C531" s="78"/>
      <c r="D531" s="78"/>
      <c r="E531" s="78"/>
    </row>
    <row r="532" spans="2:5" x14ac:dyDescent="0.3">
      <c r="B532" s="78"/>
      <c r="C532" s="78"/>
      <c r="D532" s="78"/>
      <c r="E532" s="78"/>
    </row>
    <row r="533" spans="2:5" x14ac:dyDescent="0.3">
      <c r="B533" s="78"/>
      <c r="C533" s="78"/>
      <c r="D533" s="78"/>
      <c r="E533" s="78"/>
    </row>
    <row r="534" spans="2:5" x14ac:dyDescent="0.3">
      <c r="B534" s="78"/>
      <c r="C534" s="78"/>
      <c r="D534" s="78"/>
      <c r="E534" s="78"/>
    </row>
    <row r="535" spans="2:5" x14ac:dyDescent="0.3">
      <c r="B535" s="78"/>
      <c r="C535" s="78"/>
      <c r="D535" s="78"/>
      <c r="E535" s="78"/>
    </row>
    <row r="536" spans="2:5" x14ac:dyDescent="0.3">
      <c r="B536" s="78"/>
      <c r="C536" s="78"/>
      <c r="D536" s="78"/>
      <c r="E536" s="78"/>
    </row>
    <row r="537" spans="2:5" x14ac:dyDescent="0.3">
      <c r="B537" s="78"/>
      <c r="C537" s="78"/>
      <c r="D537" s="78"/>
      <c r="E537" s="78"/>
    </row>
    <row r="538" spans="2:5" x14ac:dyDescent="0.3">
      <c r="B538" s="78"/>
      <c r="C538" s="78"/>
      <c r="D538" s="78"/>
      <c r="E538" s="78"/>
    </row>
    <row r="539" spans="2:5" x14ac:dyDescent="0.3">
      <c r="B539" s="78"/>
      <c r="C539" s="78"/>
      <c r="D539" s="78"/>
      <c r="E539" s="78"/>
    </row>
    <row r="540" spans="2:5" x14ac:dyDescent="0.3">
      <c r="B540" s="78"/>
      <c r="C540" s="78"/>
      <c r="D540" s="78"/>
      <c r="E540" s="78"/>
    </row>
    <row r="541" spans="2:5" x14ac:dyDescent="0.3">
      <c r="B541" s="78"/>
      <c r="C541" s="78"/>
      <c r="D541" s="78"/>
      <c r="E541" s="78"/>
    </row>
    <row r="542" spans="2:5" x14ac:dyDescent="0.3">
      <c r="B542" s="78"/>
      <c r="C542" s="78"/>
      <c r="D542" s="78"/>
      <c r="E542" s="78"/>
    </row>
    <row r="543" spans="2:5" x14ac:dyDescent="0.3">
      <c r="B543" s="78"/>
      <c r="C543" s="78"/>
      <c r="D543" s="78"/>
      <c r="E543" s="78"/>
    </row>
    <row r="544" spans="2:5" x14ac:dyDescent="0.3">
      <c r="B544" s="78"/>
      <c r="C544" s="78"/>
      <c r="D544" s="78"/>
      <c r="E544" s="78"/>
    </row>
    <row r="545" spans="2:5" x14ac:dyDescent="0.3">
      <c r="B545" s="78"/>
      <c r="C545" s="78"/>
      <c r="D545" s="78"/>
      <c r="E545" s="78"/>
    </row>
    <row r="546" spans="2:5" x14ac:dyDescent="0.3">
      <c r="B546" s="78"/>
      <c r="C546" s="78"/>
      <c r="D546" s="78"/>
      <c r="E546" s="78"/>
    </row>
    <row r="547" spans="2:5" x14ac:dyDescent="0.3">
      <c r="B547" s="78"/>
      <c r="C547" s="78"/>
      <c r="D547" s="78"/>
      <c r="E547" s="78"/>
    </row>
    <row r="548" spans="2:5" x14ac:dyDescent="0.3">
      <c r="B548" s="78"/>
      <c r="C548" s="78"/>
      <c r="D548" s="78"/>
      <c r="E548" s="78"/>
    </row>
    <row r="549" spans="2:5" x14ac:dyDescent="0.3">
      <c r="B549" s="78"/>
      <c r="C549" s="78"/>
      <c r="D549" s="78"/>
      <c r="E549" s="78"/>
    </row>
    <row r="550" spans="2:5" x14ac:dyDescent="0.3">
      <c r="B550" s="78"/>
      <c r="C550" s="78"/>
      <c r="D550" s="78"/>
      <c r="E550" s="78"/>
    </row>
    <row r="551" spans="2:5" x14ac:dyDescent="0.3">
      <c r="B551" s="78"/>
      <c r="C551" s="78"/>
      <c r="D551" s="78"/>
      <c r="E551" s="78"/>
    </row>
    <row r="552" spans="2:5" x14ac:dyDescent="0.3">
      <c r="B552" s="78"/>
      <c r="C552" s="78"/>
      <c r="D552" s="78"/>
      <c r="E552" s="78"/>
    </row>
    <row r="553" spans="2:5" x14ac:dyDescent="0.3">
      <c r="B553" s="78"/>
      <c r="C553" s="78"/>
      <c r="D553" s="78"/>
      <c r="E553" s="78"/>
    </row>
    <row r="554" spans="2:5" x14ac:dyDescent="0.3">
      <c r="B554" s="78"/>
      <c r="C554" s="78"/>
      <c r="D554" s="78"/>
      <c r="E554" s="78"/>
    </row>
    <row r="555" spans="2:5" x14ac:dyDescent="0.3">
      <c r="B555" s="78"/>
      <c r="C555" s="78"/>
      <c r="D555" s="78"/>
      <c r="E555" s="78"/>
    </row>
    <row r="556" spans="2:5" x14ac:dyDescent="0.3">
      <c r="B556" s="78"/>
      <c r="C556" s="78"/>
      <c r="D556" s="78"/>
      <c r="E556" s="78"/>
    </row>
    <row r="557" spans="2:5" x14ac:dyDescent="0.3">
      <c r="B557" s="78"/>
      <c r="C557" s="78"/>
      <c r="D557" s="78"/>
      <c r="E557" s="78"/>
    </row>
    <row r="558" spans="2:5" x14ac:dyDescent="0.3">
      <c r="B558" s="78"/>
      <c r="C558" s="78"/>
      <c r="D558" s="78"/>
      <c r="E558" s="78"/>
    </row>
    <row r="559" spans="2:5" x14ac:dyDescent="0.3">
      <c r="B559" s="78"/>
      <c r="C559" s="78"/>
      <c r="D559" s="78"/>
      <c r="E559" s="78"/>
    </row>
    <row r="560" spans="2:5" x14ac:dyDescent="0.3">
      <c r="B560" s="78"/>
      <c r="C560" s="78"/>
      <c r="D560" s="78"/>
      <c r="E560" s="78"/>
    </row>
    <row r="561" spans="2:5" x14ac:dyDescent="0.3">
      <c r="B561" s="78"/>
      <c r="C561" s="78"/>
      <c r="D561" s="78"/>
      <c r="E561" s="78"/>
    </row>
    <row r="562" spans="2:5" x14ac:dyDescent="0.3">
      <c r="B562" s="78"/>
      <c r="C562" s="78"/>
      <c r="D562" s="78"/>
      <c r="E562" s="78"/>
    </row>
    <row r="563" spans="2:5" x14ac:dyDescent="0.3">
      <c r="B563" s="78"/>
      <c r="C563" s="78"/>
      <c r="D563" s="78"/>
      <c r="E563" s="78"/>
    </row>
    <row r="564" spans="2:5" x14ac:dyDescent="0.3">
      <c r="B564" s="78"/>
      <c r="C564" s="78"/>
      <c r="D564" s="78"/>
      <c r="E564" s="78"/>
    </row>
    <row r="565" spans="2:5" x14ac:dyDescent="0.3">
      <c r="B565" s="78"/>
      <c r="C565" s="78"/>
      <c r="D565" s="78"/>
      <c r="E565" s="78"/>
    </row>
    <row r="566" spans="2:5" x14ac:dyDescent="0.3">
      <c r="B566" s="78"/>
      <c r="C566" s="78"/>
      <c r="D566" s="78"/>
      <c r="E566" s="78"/>
    </row>
    <row r="567" spans="2:5" x14ac:dyDescent="0.3">
      <c r="B567" s="78"/>
      <c r="C567" s="78"/>
      <c r="D567" s="78"/>
      <c r="E567" s="78"/>
    </row>
    <row r="568" spans="2:5" x14ac:dyDescent="0.3">
      <c r="B568" s="78"/>
      <c r="C568" s="78"/>
      <c r="D568" s="78"/>
      <c r="E568" s="78"/>
    </row>
    <row r="569" spans="2:5" x14ac:dyDescent="0.3">
      <c r="B569" s="78"/>
      <c r="C569" s="78"/>
      <c r="D569" s="78"/>
      <c r="E569" s="78"/>
    </row>
    <row r="570" spans="2:5" x14ac:dyDescent="0.3">
      <c r="B570" s="78"/>
      <c r="C570" s="78"/>
      <c r="D570" s="78"/>
      <c r="E570" s="78"/>
    </row>
    <row r="571" spans="2:5" x14ac:dyDescent="0.3">
      <c r="B571" s="78"/>
      <c r="C571" s="78"/>
      <c r="D571" s="78"/>
      <c r="E571" s="78"/>
    </row>
    <row r="572" spans="2:5" x14ac:dyDescent="0.3">
      <c r="B572" s="78"/>
      <c r="C572" s="78"/>
      <c r="D572" s="78"/>
      <c r="E572" s="78"/>
    </row>
    <row r="573" spans="2:5" x14ac:dyDescent="0.3">
      <c r="B573" s="78"/>
      <c r="C573" s="78"/>
      <c r="D573" s="78"/>
      <c r="E573" s="78"/>
    </row>
    <row r="574" spans="2:5" x14ac:dyDescent="0.3">
      <c r="B574" s="78"/>
      <c r="C574" s="78"/>
      <c r="D574" s="78"/>
      <c r="E574" s="78"/>
    </row>
    <row r="575" spans="2:5" x14ac:dyDescent="0.3">
      <c r="B575" s="78"/>
      <c r="C575" s="78"/>
      <c r="D575" s="78"/>
      <c r="E575" s="78"/>
    </row>
    <row r="576" spans="2:5" x14ac:dyDescent="0.3">
      <c r="B576" s="78"/>
      <c r="C576" s="78"/>
      <c r="D576" s="78"/>
      <c r="E576" s="78"/>
    </row>
    <row r="577" spans="2:5" x14ac:dyDescent="0.3">
      <c r="B577" s="78"/>
      <c r="C577" s="78"/>
      <c r="D577" s="78"/>
      <c r="E577" s="78"/>
    </row>
    <row r="578" spans="2:5" x14ac:dyDescent="0.3">
      <c r="B578" s="78"/>
      <c r="C578" s="78"/>
      <c r="D578" s="78"/>
      <c r="E578" s="78"/>
    </row>
    <row r="579" spans="2:5" x14ac:dyDescent="0.3">
      <c r="B579" s="78"/>
      <c r="C579" s="78"/>
      <c r="D579" s="78"/>
      <c r="E579" s="78"/>
    </row>
    <row r="580" spans="2:5" x14ac:dyDescent="0.3">
      <c r="B580" s="78"/>
      <c r="C580" s="78"/>
      <c r="D580" s="78"/>
      <c r="E580" s="78"/>
    </row>
    <row r="581" spans="2:5" x14ac:dyDescent="0.3">
      <c r="B581" s="78"/>
      <c r="C581" s="78"/>
      <c r="D581" s="78"/>
      <c r="E581" s="78"/>
    </row>
    <row r="582" spans="2:5" x14ac:dyDescent="0.3">
      <c r="B582" s="78"/>
      <c r="C582" s="78"/>
      <c r="D582" s="78"/>
      <c r="E582" s="78"/>
    </row>
    <row r="583" spans="2:5" x14ac:dyDescent="0.3">
      <c r="B583" s="78"/>
      <c r="C583" s="78"/>
      <c r="D583" s="78"/>
      <c r="E583" s="78"/>
    </row>
    <row r="584" spans="2:5" x14ac:dyDescent="0.3">
      <c r="B584" s="78"/>
      <c r="C584" s="78"/>
      <c r="D584" s="78"/>
      <c r="E584" s="78"/>
    </row>
    <row r="585" spans="2:5" x14ac:dyDescent="0.3">
      <c r="B585" s="78"/>
      <c r="C585" s="78"/>
      <c r="D585" s="78"/>
      <c r="E585" s="78"/>
    </row>
    <row r="586" spans="2:5" x14ac:dyDescent="0.3">
      <c r="B586" s="78"/>
      <c r="C586" s="78"/>
      <c r="D586" s="78"/>
      <c r="E586" s="78"/>
    </row>
    <row r="587" spans="2:5" x14ac:dyDescent="0.3">
      <c r="B587" s="78"/>
      <c r="C587" s="78"/>
      <c r="D587" s="78"/>
      <c r="E587" s="78"/>
    </row>
    <row r="588" spans="2:5" x14ac:dyDescent="0.3">
      <c r="B588" s="78"/>
      <c r="C588" s="78"/>
      <c r="D588" s="78"/>
      <c r="E588" s="78"/>
    </row>
    <row r="589" spans="2:5" x14ac:dyDescent="0.3">
      <c r="B589" s="78"/>
      <c r="C589" s="78"/>
      <c r="D589" s="78"/>
      <c r="E589" s="78"/>
    </row>
    <row r="590" spans="2:5" x14ac:dyDescent="0.3">
      <c r="B590" s="78"/>
      <c r="C590" s="78"/>
      <c r="D590" s="78"/>
      <c r="E590" s="78"/>
    </row>
    <row r="591" spans="2:5" x14ac:dyDescent="0.3">
      <c r="B591" s="78"/>
      <c r="C591" s="78"/>
      <c r="D591" s="78"/>
      <c r="E591" s="78"/>
    </row>
    <row r="592" spans="2:5" x14ac:dyDescent="0.3">
      <c r="B592" s="78"/>
      <c r="C592" s="78"/>
      <c r="D592" s="78"/>
      <c r="E592" s="78"/>
    </row>
    <row r="593" spans="2:5" x14ac:dyDescent="0.3">
      <c r="B593" s="78"/>
      <c r="C593" s="78"/>
      <c r="D593" s="78"/>
      <c r="E593" s="78"/>
    </row>
    <row r="594" spans="2:5" x14ac:dyDescent="0.3">
      <c r="B594" s="78"/>
      <c r="C594" s="78"/>
      <c r="D594" s="78"/>
      <c r="E594" s="78"/>
    </row>
    <row r="595" spans="2:5" x14ac:dyDescent="0.3">
      <c r="B595" s="78"/>
      <c r="C595" s="78"/>
      <c r="D595" s="78"/>
      <c r="E595" s="78"/>
    </row>
    <row r="596" spans="2:5" x14ac:dyDescent="0.3">
      <c r="B596" s="78"/>
      <c r="C596" s="78"/>
      <c r="D596" s="78"/>
      <c r="E596" s="78"/>
    </row>
    <row r="597" spans="2:5" x14ac:dyDescent="0.3">
      <c r="B597" s="78"/>
      <c r="C597" s="78"/>
      <c r="D597" s="78"/>
      <c r="E597" s="78"/>
    </row>
    <row r="598" spans="2:5" x14ac:dyDescent="0.3">
      <c r="B598" s="78"/>
      <c r="C598" s="78"/>
      <c r="D598" s="78"/>
      <c r="E598" s="78"/>
    </row>
    <row r="599" spans="2:5" x14ac:dyDescent="0.3">
      <c r="B599" s="78"/>
      <c r="C599" s="78"/>
      <c r="D599" s="78"/>
      <c r="E599" s="78"/>
    </row>
    <row r="600" spans="2:5" x14ac:dyDescent="0.3">
      <c r="B600" s="78"/>
      <c r="C600" s="78"/>
      <c r="D600" s="78"/>
      <c r="E600" s="78"/>
    </row>
    <row r="601" spans="2:5" x14ac:dyDescent="0.3">
      <c r="B601" s="78"/>
      <c r="C601" s="78"/>
      <c r="D601" s="78"/>
      <c r="E601" s="78"/>
    </row>
    <row r="602" spans="2:5" x14ac:dyDescent="0.3">
      <c r="B602" s="78"/>
      <c r="C602" s="78"/>
      <c r="D602" s="78"/>
      <c r="E602" s="78"/>
    </row>
    <row r="603" spans="2:5" x14ac:dyDescent="0.3">
      <c r="B603" s="78"/>
      <c r="C603" s="78"/>
      <c r="D603" s="78"/>
      <c r="E603" s="78"/>
    </row>
    <row r="604" spans="2:5" x14ac:dyDescent="0.3">
      <c r="B604" s="78"/>
      <c r="C604" s="78"/>
      <c r="D604" s="78"/>
      <c r="E604" s="78"/>
    </row>
    <row r="605" spans="2:5" x14ac:dyDescent="0.3">
      <c r="B605" s="78"/>
      <c r="C605" s="78"/>
      <c r="D605" s="78"/>
      <c r="E605" s="78"/>
    </row>
    <row r="606" spans="2:5" x14ac:dyDescent="0.3">
      <c r="B606" s="78"/>
      <c r="C606" s="78"/>
      <c r="D606" s="78"/>
      <c r="E606" s="78"/>
    </row>
    <row r="607" spans="2:5" x14ac:dyDescent="0.3">
      <c r="B607" s="78"/>
      <c r="C607" s="78"/>
      <c r="D607" s="78"/>
      <c r="E607" s="78"/>
    </row>
    <row r="608" spans="2:5" x14ac:dyDescent="0.3">
      <c r="B608" s="78"/>
      <c r="C608" s="78"/>
      <c r="D608" s="78"/>
      <c r="E608" s="78"/>
    </row>
    <row r="609" spans="2:5" x14ac:dyDescent="0.3">
      <c r="B609" s="78"/>
      <c r="C609" s="78"/>
      <c r="D609" s="78"/>
      <c r="E609" s="78"/>
    </row>
    <row r="610" spans="2:5" x14ac:dyDescent="0.3">
      <c r="B610" s="78"/>
      <c r="C610" s="78"/>
      <c r="D610" s="78"/>
      <c r="E610" s="78"/>
    </row>
    <row r="611" spans="2:5" x14ac:dyDescent="0.3">
      <c r="B611" s="78"/>
      <c r="C611" s="78"/>
      <c r="D611" s="78"/>
      <c r="E611" s="78"/>
    </row>
    <row r="612" spans="2:5" x14ac:dyDescent="0.3">
      <c r="B612" s="78"/>
      <c r="C612" s="78"/>
      <c r="D612" s="78"/>
      <c r="E612" s="78"/>
    </row>
    <row r="613" spans="2:5" x14ac:dyDescent="0.3">
      <c r="B613" s="78"/>
      <c r="C613" s="78"/>
      <c r="D613" s="78"/>
      <c r="E613" s="78"/>
    </row>
    <row r="614" spans="2:5" x14ac:dyDescent="0.3">
      <c r="B614" s="78"/>
      <c r="C614" s="78"/>
      <c r="D614" s="78"/>
      <c r="E614" s="78"/>
    </row>
    <row r="615" spans="2:5" x14ac:dyDescent="0.3">
      <c r="B615" s="78"/>
      <c r="C615" s="78"/>
      <c r="D615" s="78"/>
      <c r="E615" s="78"/>
    </row>
    <row r="616" spans="2:5" x14ac:dyDescent="0.3">
      <c r="B616" s="78"/>
      <c r="C616" s="78"/>
      <c r="D616" s="78"/>
      <c r="E616" s="78"/>
    </row>
    <row r="617" spans="2:5" x14ac:dyDescent="0.3">
      <c r="B617" s="78"/>
      <c r="C617" s="78"/>
      <c r="D617" s="78"/>
      <c r="E617" s="78"/>
    </row>
    <row r="618" spans="2:5" x14ac:dyDescent="0.3">
      <c r="B618" s="78"/>
      <c r="C618" s="78"/>
      <c r="D618" s="78"/>
      <c r="E618" s="78"/>
    </row>
    <row r="619" spans="2:5" x14ac:dyDescent="0.3">
      <c r="B619" s="78"/>
      <c r="C619" s="78"/>
      <c r="D619" s="78"/>
      <c r="E619" s="78"/>
    </row>
    <row r="620" spans="2:5" x14ac:dyDescent="0.3">
      <c r="B620" s="78"/>
      <c r="C620" s="78"/>
      <c r="D620" s="78"/>
      <c r="E620" s="78"/>
    </row>
    <row r="621" spans="2:5" x14ac:dyDescent="0.3">
      <c r="B621" s="78"/>
      <c r="C621" s="78"/>
      <c r="D621" s="78"/>
      <c r="E621" s="78"/>
    </row>
    <row r="622" spans="2:5" x14ac:dyDescent="0.3">
      <c r="B622" s="78"/>
      <c r="C622" s="78"/>
      <c r="D622" s="78"/>
      <c r="E622" s="78"/>
    </row>
    <row r="623" spans="2:5" x14ac:dyDescent="0.3">
      <c r="B623" s="78"/>
      <c r="C623" s="78"/>
      <c r="D623" s="78"/>
      <c r="E623" s="78"/>
    </row>
    <row r="624" spans="2:5" x14ac:dyDescent="0.3">
      <c r="B624" s="78"/>
      <c r="C624" s="78"/>
      <c r="D624" s="78"/>
      <c r="E624" s="78"/>
    </row>
    <row r="625" spans="2:5" x14ac:dyDescent="0.3">
      <c r="B625" s="78"/>
      <c r="C625" s="78"/>
      <c r="D625" s="78"/>
      <c r="E625" s="78"/>
    </row>
    <row r="626" spans="2:5" x14ac:dyDescent="0.3">
      <c r="B626" s="78"/>
      <c r="C626" s="78"/>
      <c r="D626" s="78"/>
      <c r="E626" s="78"/>
    </row>
    <row r="627" spans="2:5" x14ac:dyDescent="0.3">
      <c r="B627" s="78"/>
      <c r="C627" s="78"/>
      <c r="D627" s="78"/>
      <c r="E627" s="78"/>
    </row>
    <row r="628" spans="2:5" x14ac:dyDescent="0.3">
      <c r="B628" s="78"/>
      <c r="C628" s="78"/>
      <c r="D628" s="78"/>
      <c r="E628" s="78"/>
    </row>
    <row r="629" spans="2:5" x14ac:dyDescent="0.3">
      <c r="B629" s="78"/>
      <c r="C629" s="78"/>
      <c r="D629" s="78"/>
      <c r="E629" s="78"/>
    </row>
    <row r="630" spans="2:5" x14ac:dyDescent="0.3">
      <c r="B630" s="78"/>
      <c r="C630" s="78"/>
      <c r="D630" s="78"/>
      <c r="E630" s="78"/>
    </row>
    <row r="631" spans="2:5" x14ac:dyDescent="0.3">
      <c r="B631" s="78"/>
      <c r="C631" s="78"/>
      <c r="D631" s="78"/>
      <c r="E631" s="78"/>
    </row>
    <row r="632" spans="2:5" x14ac:dyDescent="0.3">
      <c r="B632" s="78"/>
      <c r="C632" s="78"/>
      <c r="D632" s="78"/>
      <c r="E632" s="78"/>
    </row>
    <row r="633" spans="2:5" x14ac:dyDescent="0.3">
      <c r="B633" s="78"/>
      <c r="C633" s="78"/>
      <c r="D633" s="78"/>
      <c r="E633" s="78"/>
    </row>
    <row r="634" spans="2:5" x14ac:dyDescent="0.3">
      <c r="B634" s="78"/>
      <c r="C634" s="78"/>
      <c r="D634" s="78"/>
      <c r="E634" s="78"/>
    </row>
    <row r="635" spans="2:5" x14ac:dyDescent="0.3">
      <c r="B635" s="78"/>
      <c r="C635" s="78"/>
      <c r="D635" s="78"/>
      <c r="E635" s="78"/>
    </row>
    <row r="636" spans="2:5" x14ac:dyDescent="0.3">
      <c r="B636" s="78"/>
      <c r="C636" s="78"/>
      <c r="D636" s="78"/>
      <c r="E636" s="78"/>
    </row>
    <row r="637" spans="2:5" x14ac:dyDescent="0.3">
      <c r="B637" s="78"/>
      <c r="C637" s="78"/>
      <c r="D637" s="78"/>
      <c r="E637" s="78"/>
    </row>
    <row r="638" spans="2:5" x14ac:dyDescent="0.3">
      <c r="B638" s="78"/>
      <c r="C638" s="78"/>
      <c r="D638" s="78"/>
      <c r="E638" s="78"/>
    </row>
    <row r="639" spans="2:5" x14ac:dyDescent="0.3">
      <c r="B639" s="78"/>
      <c r="C639" s="78"/>
      <c r="D639" s="78"/>
      <c r="E639" s="78"/>
    </row>
    <row r="640" spans="2:5" x14ac:dyDescent="0.3">
      <c r="B640" s="78"/>
      <c r="C640" s="78"/>
      <c r="D640" s="78"/>
      <c r="E640" s="78"/>
    </row>
    <row r="641" spans="2:5" x14ac:dyDescent="0.3">
      <c r="B641" s="78"/>
      <c r="C641" s="78"/>
      <c r="D641" s="78"/>
      <c r="E641" s="78"/>
    </row>
    <row r="642" spans="2:5" x14ac:dyDescent="0.3">
      <c r="B642" s="78"/>
      <c r="C642" s="78"/>
      <c r="D642" s="78"/>
      <c r="E642" s="78"/>
    </row>
    <row r="643" spans="2:5" x14ac:dyDescent="0.3">
      <c r="B643" s="78"/>
      <c r="C643" s="78"/>
      <c r="D643" s="78"/>
      <c r="E643" s="78"/>
    </row>
    <row r="644" spans="2:5" x14ac:dyDescent="0.3">
      <c r="B644" s="78"/>
      <c r="C644" s="78"/>
      <c r="D644" s="78"/>
      <c r="E644" s="78"/>
    </row>
    <row r="645" spans="2:5" x14ac:dyDescent="0.3">
      <c r="B645" s="78"/>
      <c r="C645" s="78"/>
      <c r="D645" s="78"/>
      <c r="E645" s="78"/>
    </row>
    <row r="646" spans="2:5" x14ac:dyDescent="0.3">
      <c r="B646" s="78"/>
      <c r="C646" s="78"/>
      <c r="D646" s="78"/>
      <c r="E646" s="78"/>
    </row>
    <row r="647" spans="2:5" x14ac:dyDescent="0.3">
      <c r="B647" s="78"/>
      <c r="C647" s="78"/>
      <c r="D647" s="78"/>
      <c r="E647" s="78"/>
    </row>
    <row r="648" spans="2:5" x14ac:dyDescent="0.3">
      <c r="B648" s="78"/>
      <c r="C648" s="78"/>
      <c r="D648" s="78"/>
      <c r="E648" s="78"/>
    </row>
    <row r="649" spans="2:5" x14ac:dyDescent="0.3">
      <c r="B649" s="78"/>
      <c r="C649" s="78"/>
      <c r="D649" s="78"/>
      <c r="E649" s="78"/>
    </row>
    <row r="650" spans="2:5" x14ac:dyDescent="0.3">
      <c r="B650" s="78"/>
      <c r="C650" s="78"/>
      <c r="D650" s="78"/>
      <c r="E650" s="78"/>
    </row>
    <row r="651" spans="2:5" x14ac:dyDescent="0.3">
      <c r="B651" s="78"/>
      <c r="C651" s="78"/>
      <c r="D651" s="78"/>
      <c r="E651" s="78"/>
    </row>
    <row r="652" spans="2:5" x14ac:dyDescent="0.3">
      <c r="B652" s="78"/>
      <c r="C652" s="78"/>
      <c r="D652" s="78"/>
      <c r="E652" s="78"/>
    </row>
    <row r="653" spans="2:5" x14ac:dyDescent="0.3">
      <c r="B653" s="78"/>
      <c r="C653" s="78"/>
      <c r="D653" s="78"/>
      <c r="E653" s="78"/>
    </row>
    <row r="654" spans="2:5" x14ac:dyDescent="0.3">
      <c r="B654" s="78"/>
      <c r="C654" s="78"/>
      <c r="D654" s="78"/>
      <c r="E654" s="78"/>
    </row>
    <row r="655" spans="2:5" x14ac:dyDescent="0.3">
      <c r="B655" s="78"/>
      <c r="C655" s="78"/>
      <c r="D655" s="78"/>
      <c r="E655" s="78"/>
    </row>
    <row r="656" spans="2:5" x14ac:dyDescent="0.3">
      <c r="B656" s="78"/>
      <c r="C656" s="78"/>
      <c r="D656" s="78"/>
      <c r="E656" s="78"/>
    </row>
    <row r="657" spans="2:5" x14ac:dyDescent="0.3">
      <c r="B657" s="78"/>
      <c r="C657" s="78"/>
      <c r="D657" s="78"/>
      <c r="E657" s="78"/>
    </row>
    <row r="658" spans="2:5" x14ac:dyDescent="0.3">
      <c r="B658" s="78"/>
      <c r="C658" s="78"/>
      <c r="D658" s="78"/>
      <c r="E658" s="78"/>
    </row>
    <row r="659" spans="2:5" x14ac:dyDescent="0.3">
      <c r="B659" s="78"/>
      <c r="C659" s="78"/>
      <c r="D659" s="78"/>
      <c r="E659" s="78"/>
    </row>
    <row r="660" spans="2:5" x14ac:dyDescent="0.3">
      <c r="B660" s="78"/>
      <c r="C660" s="78"/>
      <c r="D660" s="78"/>
      <c r="E660" s="78"/>
    </row>
    <row r="661" spans="2:5" x14ac:dyDescent="0.3">
      <c r="B661" s="78"/>
      <c r="C661" s="78"/>
      <c r="D661" s="78"/>
      <c r="E661" s="78"/>
    </row>
    <row r="662" spans="2:5" x14ac:dyDescent="0.3">
      <c r="B662" s="78"/>
      <c r="C662" s="78"/>
      <c r="D662" s="78"/>
      <c r="E662" s="78"/>
    </row>
    <row r="663" spans="2:5" x14ac:dyDescent="0.3">
      <c r="B663" s="78"/>
      <c r="C663" s="78"/>
      <c r="D663" s="78"/>
      <c r="E663" s="78"/>
    </row>
    <row r="664" spans="2:5" x14ac:dyDescent="0.3">
      <c r="B664" s="78"/>
      <c r="C664" s="78"/>
      <c r="D664" s="78"/>
      <c r="E664" s="78"/>
    </row>
    <row r="665" spans="2:5" x14ac:dyDescent="0.3">
      <c r="B665" s="78"/>
      <c r="C665" s="78"/>
      <c r="D665" s="78"/>
      <c r="E665" s="78"/>
    </row>
    <row r="666" spans="2:5" x14ac:dyDescent="0.3">
      <c r="B666" s="78"/>
      <c r="C666" s="78"/>
      <c r="D666" s="78"/>
      <c r="E666" s="78"/>
    </row>
    <row r="667" spans="2:5" x14ac:dyDescent="0.3">
      <c r="B667" s="78"/>
      <c r="C667" s="78"/>
      <c r="D667" s="78"/>
      <c r="E667" s="78"/>
    </row>
    <row r="668" spans="2:5" x14ac:dyDescent="0.3">
      <c r="B668" s="78"/>
      <c r="C668" s="78"/>
      <c r="D668" s="78"/>
      <c r="E668" s="78"/>
    </row>
    <row r="669" spans="2:5" x14ac:dyDescent="0.3">
      <c r="B669" s="78"/>
      <c r="C669" s="78"/>
      <c r="D669" s="78"/>
      <c r="E669" s="78"/>
    </row>
    <row r="670" spans="2:5" x14ac:dyDescent="0.3">
      <c r="B670" s="78"/>
      <c r="C670" s="78"/>
      <c r="D670" s="78"/>
      <c r="E670" s="78"/>
    </row>
    <row r="671" spans="2:5" x14ac:dyDescent="0.3">
      <c r="B671" s="78"/>
      <c r="C671" s="78"/>
      <c r="D671" s="78"/>
      <c r="E671" s="78"/>
    </row>
    <row r="672" spans="2:5" x14ac:dyDescent="0.3">
      <c r="B672" s="78"/>
      <c r="C672" s="78"/>
      <c r="D672" s="78"/>
      <c r="E672" s="78"/>
    </row>
    <row r="673" spans="2:5" x14ac:dyDescent="0.3">
      <c r="B673" s="78"/>
      <c r="C673" s="78"/>
      <c r="D673" s="78"/>
      <c r="E673" s="78"/>
    </row>
    <row r="674" spans="2:5" x14ac:dyDescent="0.3">
      <c r="B674" s="78"/>
      <c r="C674" s="78"/>
      <c r="D674" s="78"/>
      <c r="E674" s="78"/>
    </row>
    <row r="675" spans="2:5" x14ac:dyDescent="0.3">
      <c r="B675" s="78"/>
      <c r="C675" s="78"/>
      <c r="D675" s="78"/>
      <c r="E675" s="78"/>
    </row>
    <row r="676" spans="2:5" x14ac:dyDescent="0.3">
      <c r="B676" s="78"/>
      <c r="C676" s="78"/>
      <c r="D676" s="78"/>
      <c r="E676" s="78"/>
    </row>
    <row r="677" spans="2:5" x14ac:dyDescent="0.3">
      <c r="B677" s="78"/>
      <c r="C677" s="78"/>
      <c r="D677" s="78"/>
      <c r="E677" s="78"/>
    </row>
    <row r="678" spans="2:5" x14ac:dyDescent="0.3">
      <c r="B678" s="78"/>
      <c r="C678" s="78"/>
      <c r="D678" s="78"/>
      <c r="E678" s="78"/>
    </row>
    <row r="679" spans="2:5" x14ac:dyDescent="0.3">
      <c r="B679" s="78"/>
      <c r="C679" s="78"/>
      <c r="D679" s="78"/>
      <c r="E679" s="78"/>
    </row>
    <row r="680" spans="2:5" x14ac:dyDescent="0.3">
      <c r="B680" s="78"/>
      <c r="C680" s="78"/>
      <c r="D680" s="78"/>
      <c r="E680" s="78"/>
    </row>
    <row r="681" spans="2:5" x14ac:dyDescent="0.3">
      <c r="B681" s="78"/>
      <c r="C681" s="78"/>
      <c r="D681" s="78"/>
      <c r="E681" s="78"/>
    </row>
    <row r="682" spans="2:5" x14ac:dyDescent="0.3">
      <c r="B682" s="78"/>
      <c r="C682" s="78"/>
      <c r="D682" s="78"/>
      <c r="E682" s="78"/>
    </row>
    <row r="683" spans="2:5" x14ac:dyDescent="0.3">
      <c r="B683" s="78"/>
      <c r="C683" s="78"/>
      <c r="D683" s="78"/>
      <c r="E683" s="78"/>
    </row>
    <row r="684" spans="2:5" x14ac:dyDescent="0.3">
      <c r="B684" s="78"/>
      <c r="C684" s="78"/>
      <c r="D684" s="78"/>
      <c r="E684" s="78"/>
    </row>
    <row r="685" spans="2:5" x14ac:dyDescent="0.3">
      <c r="B685" s="78"/>
      <c r="C685" s="78"/>
      <c r="D685" s="78"/>
      <c r="E685" s="78"/>
    </row>
    <row r="686" spans="2:5" x14ac:dyDescent="0.3">
      <c r="B686" s="78"/>
      <c r="C686" s="78"/>
      <c r="D686" s="78"/>
      <c r="E686" s="78"/>
    </row>
    <row r="687" spans="2:5" x14ac:dyDescent="0.3">
      <c r="B687" s="78"/>
      <c r="C687" s="78"/>
      <c r="D687" s="78"/>
      <c r="E687" s="78"/>
    </row>
    <row r="688" spans="2:5" x14ac:dyDescent="0.3">
      <c r="B688" s="78"/>
      <c r="C688" s="78"/>
      <c r="D688" s="78"/>
      <c r="E688" s="78"/>
    </row>
    <row r="689" spans="2:5" x14ac:dyDescent="0.3">
      <c r="B689" s="78"/>
      <c r="C689" s="78"/>
      <c r="D689" s="78"/>
      <c r="E689" s="78"/>
    </row>
    <row r="690" spans="2:5" x14ac:dyDescent="0.3">
      <c r="B690" s="78"/>
      <c r="C690" s="78"/>
      <c r="D690" s="78"/>
      <c r="E690" s="78"/>
    </row>
    <row r="691" spans="2:5" x14ac:dyDescent="0.3">
      <c r="B691" s="78"/>
      <c r="C691" s="78"/>
      <c r="D691" s="78"/>
      <c r="E691" s="78"/>
    </row>
    <row r="692" spans="2:5" x14ac:dyDescent="0.3">
      <c r="B692" s="78"/>
      <c r="C692" s="78"/>
      <c r="D692" s="78"/>
      <c r="E692" s="78"/>
    </row>
    <row r="693" spans="2:5" x14ac:dyDescent="0.3">
      <c r="B693" s="78"/>
      <c r="C693" s="78"/>
      <c r="D693" s="78"/>
      <c r="E693" s="78"/>
    </row>
    <row r="694" spans="2:5" x14ac:dyDescent="0.3">
      <c r="B694" s="78"/>
      <c r="C694" s="78"/>
      <c r="D694" s="78"/>
      <c r="E694" s="78"/>
    </row>
    <row r="695" spans="2:5" x14ac:dyDescent="0.3">
      <c r="B695" s="78"/>
      <c r="C695" s="78"/>
      <c r="D695" s="78"/>
      <c r="E695" s="78"/>
    </row>
    <row r="696" spans="2:5" x14ac:dyDescent="0.3">
      <c r="B696" s="78"/>
      <c r="C696" s="78"/>
      <c r="D696" s="78"/>
      <c r="E696" s="78"/>
    </row>
    <row r="697" spans="2:5" x14ac:dyDescent="0.3">
      <c r="B697" s="78"/>
      <c r="C697" s="78"/>
      <c r="D697" s="78"/>
      <c r="E697" s="78"/>
    </row>
    <row r="698" spans="2:5" x14ac:dyDescent="0.3">
      <c r="B698" s="78"/>
      <c r="C698" s="78"/>
      <c r="D698" s="78"/>
      <c r="E698" s="78"/>
    </row>
    <row r="699" spans="2:5" x14ac:dyDescent="0.3">
      <c r="B699" s="78"/>
      <c r="C699" s="78"/>
      <c r="D699" s="78"/>
      <c r="E699" s="78"/>
    </row>
    <row r="700" spans="2:5" x14ac:dyDescent="0.3">
      <c r="B700" s="78"/>
      <c r="C700" s="78"/>
      <c r="D700" s="78"/>
      <c r="E700" s="78"/>
    </row>
    <row r="701" spans="2:5" x14ac:dyDescent="0.3">
      <c r="B701" s="78"/>
      <c r="C701" s="78"/>
      <c r="D701" s="78"/>
      <c r="E701" s="78"/>
    </row>
    <row r="702" spans="2:5" x14ac:dyDescent="0.3">
      <c r="B702" s="78"/>
      <c r="C702" s="78"/>
      <c r="D702" s="78"/>
      <c r="E702" s="78"/>
    </row>
    <row r="703" spans="2:5" x14ac:dyDescent="0.3">
      <c r="B703" s="78"/>
      <c r="C703" s="78"/>
      <c r="D703" s="78"/>
      <c r="E703" s="78"/>
    </row>
    <row r="704" spans="2:5" x14ac:dyDescent="0.3">
      <c r="B704" s="78"/>
      <c r="C704" s="78"/>
      <c r="D704" s="78"/>
      <c r="E704" s="78"/>
    </row>
    <row r="705" spans="2:5" x14ac:dyDescent="0.3">
      <c r="B705" s="78"/>
      <c r="C705" s="78"/>
      <c r="D705" s="78"/>
      <c r="E705" s="78"/>
    </row>
    <row r="706" spans="2:5" x14ac:dyDescent="0.3">
      <c r="B706" s="78"/>
      <c r="C706" s="78"/>
      <c r="D706" s="78"/>
      <c r="E706" s="78"/>
    </row>
    <row r="707" spans="2:5" x14ac:dyDescent="0.3">
      <c r="B707" s="78"/>
      <c r="C707" s="78"/>
      <c r="D707" s="78"/>
      <c r="E707" s="78"/>
    </row>
    <row r="708" spans="2:5" x14ac:dyDescent="0.3">
      <c r="B708" s="78"/>
      <c r="C708" s="78"/>
      <c r="D708" s="78"/>
      <c r="E708" s="78"/>
    </row>
    <row r="709" spans="2:5" x14ac:dyDescent="0.3">
      <c r="B709" s="78"/>
      <c r="C709" s="78"/>
      <c r="D709" s="78"/>
      <c r="E709" s="78"/>
    </row>
    <row r="710" spans="2:5" x14ac:dyDescent="0.3">
      <c r="B710" s="78"/>
      <c r="C710" s="78"/>
      <c r="D710" s="78"/>
      <c r="E710" s="78"/>
    </row>
    <row r="711" spans="2:5" x14ac:dyDescent="0.3">
      <c r="B711" s="78"/>
      <c r="C711" s="78"/>
      <c r="D711" s="78"/>
      <c r="E711" s="78"/>
    </row>
    <row r="712" spans="2:5" x14ac:dyDescent="0.3">
      <c r="B712" s="78"/>
      <c r="C712" s="78"/>
      <c r="D712" s="78"/>
      <c r="E712" s="78"/>
    </row>
    <row r="713" spans="2:5" x14ac:dyDescent="0.3">
      <c r="B713" s="78"/>
      <c r="C713" s="78"/>
      <c r="D713" s="78"/>
      <c r="E713" s="78"/>
    </row>
    <row r="714" spans="2:5" x14ac:dyDescent="0.3">
      <c r="B714" s="78"/>
      <c r="C714" s="78"/>
      <c r="D714" s="78"/>
      <c r="E714" s="78"/>
    </row>
    <row r="715" spans="2:5" x14ac:dyDescent="0.3">
      <c r="B715" s="78"/>
      <c r="C715" s="78"/>
      <c r="D715" s="78"/>
      <c r="E715" s="78"/>
    </row>
    <row r="716" spans="2:5" x14ac:dyDescent="0.3">
      <c r="B716" s="78"/>
      <c r="C716" s="78"/>
      <c r="D716" s="78"/>
      <c r="E716" s="78"/>
    </row>
    <row r="717" spans="2:5" x14ac:dyDescent="0.3">
      <c r="B717" s="78"/>
      <c r="C717" s="78"/>
      <c r="D717" s="78"/>
      <c r="E717" s="78"/>
    </row>
    <row r="718" spans="2:5" x14ac:dyDescent="0.3">
      <c r="B718" s="78"/>
      <c r="C718" s="78"/>
      <c r="D718" s="78"/>
      <c r="E718" s="78"/>
    </row>
    <row r="719" spans="2:5" x14ac:dyDescent="0.3">
      <c r="B719" s="78"/>
      <c r="C719" s="78"/>
      <c r="D719" s="78"/>
      <c r="E719" s="78"/>
    </row>
    <row r="720" spans="2:5" x14ac:dyDescent="0.3">
      <c r="B720" s="78"/>
      <c r="C720" s="78"/>
      <c r="D720" s="78"/>
      <c r="E720" s="78"/>
    </row>
    <row r="721" spans="2:5" x14ac:dyDescent="0.3">
      <c r="B721" s="78"/>
      <c r="C721" s="78"/>
      <c r="D721" s="78"/>
      <c r="E721" s="78"/>
    </row>
    <row r="722" spans="2:5" x14ac:dyDescent="0.3">
      <c r="B722" s="78"/>
      <c r="C722" s="78"/>
      <c r="D722" s="78"/>
      <c r="E722" s="78"/>
    </row>
    <row r="723" spans="2:5" x14ac:dyDescent="0.3">
      <c r="B723" s="78"/>
      <c r="C723" s="78"/>
      <c r="D723" s="78"/>
      <c r="E723" s="78"/>
    </row>
    <row r="724" spans="2:5" x14ac:dyDescent="0.3">
      <c r="B724" s="78"/>
      <c r="C724" s="78"/>
      <c r="D724" s="78"/>
      <c r="E724" s="78"/>
    </row>
    <row r="725" spans="2:5" x14ac:dyDescent="0.3">
      <c r="B725" s="78"/>
      <c r="C725" s="78"/>
      <c r="D725" s="78"/>
      <c r="E725" s="78"/>
    </row>
    <row r="726" spans="2:5" x14ac:dyDescent="0.3">
      <c r="B726" s="78"/>
      <c r="C726" s="78"/>
      <c r="D726" s="78"/>
      <c r="E726" s="78"/>
    </row>
    <row r="727" spans="2:5" x14ac:dyDescent="0.3">
      <c r="B727" s="78"/>
      <c r="C727" s="78"/>
      <c r="D727" s="78"/>
      <c r="E727" s="78"/>
    </row>
    <row r="728" spans="2:5" x14ac:dyDescent="0.3">
      <c r="B728" s="78"/>
      <c r="C728" s="78"/>
      <c r="D728" s="78"/>
      <c r="E728" s="78"/>
    </row>
    <row r="729" spans="2:5" x14ac:dyDescent="0.3">
      <c r="B729" s="78"/>
      <c r="C729" s="78"/>
      <c r="D729" s="78"/>
      <c r="E729" s="78"/>
    </row>
    <row r="730" spans="2:5" x14ac:dyDescent="0.3">
      <c r="B730" s="78"/>
      <c r="C730" s="78"/>
      <c r="D730" s="78"/>
      <c r="E730" s="78"/>
    </row>
    <row r="731" spans="2:5" x14ac:dyDescent="0.3">
      <c r="B731" s="78"/>
      <c r="C731" s="78"/>
      <c r="D731" s="78"/>
      <c r="E731" s="78"/>
    </row>
    <row r="732" spans="2:5" x14ac:dyDescent="0.3">
      <c r="B732" s="78"/>
      <c r="C732" s="78"/>
      <c r="D732" s="78"/>
      <c r="E732" s="78"/>
    </row>
    <row r="733" spans="2:5" x14ac:dyDescent="0.3">
      <c r="B733" s="78"/>
      <c r="C733" s="78"/>
      <c r="D733" s="78"/>
      <c r="E733" s="78"/>
    </row>
    <row r="734" spans="2:5" x14ac:dyDescent="0.3">
      <c r="B734" s="78"/>
      <c r="C734" s="78"/>
      <c r="D734" s="78"/>
      <c r="E734" s="78"/>
    </row>
    <row r="735" spans="2:5" x14ac:dyDescent="0.3">
      <c r="B735" s="78"/>
      <c r="C735" s="78"/>
      <c r="D735" s="78"/>
      <c r="E735" s="78"/>
    </row>
    <row r="736" spans="2:5" x14ac:dyDescent="0.3">
      <c r="B736" s="78"/>
      <c r="C736" s="78"/>
      <c r="D736" s="78"/>
      <c r="E736" s="78"/>
    </row>
    <row r="737" spans="2:5" x14ac:dyDescent="0.3">
      <c r="B737" s="78"/>
      <c r="C737" s="78"/>
      <c r="D737" s="78"/>
      <c r="E737" s="78"/>
    </row>
    <row r="738" spans="2:5" x14ac:dyDescent="0.3">
      <c r="B738" s="78"/>
      <c r="C738" s="78"/>
      <c r="D738" s="78"/>
      <c r="E738" s="78"/>
    </row>
    <row r="739" spans="2:5" x14ac:dyDescent="0.3">
      <c r="B739" s="78"/>
      <c r="C739" s="78"/>
      <c r="D739" s="78"/>
      <c r="E739" s="78"/>
    </row>
    <row r="740" spans="2:5" x14ac:dyDescent="0.3">
      <c r="B740" s="78"/>
      <c r="C740" s="78"/>
      <c r="D740" s="78"/>
      <c r="E740" s="78"/>
    </row>
    <row r="741" spans="2:5" x14ac:dyDescent="0.3">
      <c r="B741" s="78"/>
      <c r="C741" s="78"/>
      <c r="D741" s="78"/>
      <c r="E741" s="78"/>
    </row>
    <row r="742" spans="2:5" x14ac:dyDescent="0.3">
      <c r="B742" s="78"/>
      <c r="C742" s="78"/>
      <c r="D742" s="78"/>
      <c r="E742" s="78"/>
    </row>
    <row r="743" spans="2:5" x14ac:dyDescent="0.3">
      <c r="B743" s="78"/>
      <c r="C743" s="78"/>
      <c r="D743" s="78"/>
      <c r="E743" s="78"/>
    </row>
    <row r="744" spans="2:5" x14ac:dyDescent="0.3">
      <c r="B744" s="78"/>
      <c r="C744" s="78"/>
      <c r="D744" s="78"/>
      <c r="E744" s="78"/>
    </row>
    <row r="745" spans="2:5" x14ac:dyDescent="0.3">
      <c r="B745" s="78"/>
      <c r="C745" s="78"/>
      <c r="D745" s="78"/>
      <c r="E745" s="78"/>
    </row>
    <row r="746" spans="2:5" x14ac:dyDescent="0.3">
      <c r="B746" s="78"/>
      <c r="C746" s="78"/>
      <c r="D746" s="78"/>
      <c r="E746" s="78"/>
    </row>
    <row r="747" spans="2:5" x14ac:dyDescent="0.3">
      <c r="B747" s="78"/>
      <c r="C747" s="78"/>
      <c r="D747" s="78"/>
      <c r="E747" s="78"/>
    </row>
    <row r="748" spans="2:5" x14ac:dyDescent="0.3">
      <c r="B748" s="78"/>
      <c r="C748" s="78"/>
      <c r="D748" s="78"/>
      <c r="E748" s="78"/>
    </row>
    <row r="749" spans="2:5" x14ac:dyDescent="0.3">
      <c r="B749" s="78"/>
      <c r="C749" s="78"/>
      <c r="D749" s="78"/>
      <c r="E749" s="78"/>
    </row>
    <row r="750" spans="2:5" x14ac:dyDescent="0.3">
      <c r="B750" s="78"/>
      <c r="C750" s="78"/>
      <c r="D750" s="78"/>
      <c r="E750" s="78"/>
    </row>
    <row r="751" spans="2:5" x14ac:dyDescent="0.3">
      <c r="B751" s="78"/>
      <c r="C751" s="78"/>
      <c r="D751" s="78"/>
      <c r="E751" s="78"/>
    </row>
    <row r="752" spans="2:5" x14ac:dyDescent="0.3">
      <c r="B752" s="78"/>
      <c r="C752" s="78"/>
      <c r="D752" s="78"/>
      <c r="E752" s="78"/>
    </row>
    <row r="753" spans="2:5" x14ac:dyDescent="0.3">
      <c r="B753" s="78"/>
      <c r="C753" s="78"/>
      <c r="D753" s="78"/>
      <c r="E753" s="78"/>
    </row>
    <row r="754" spans="2:5" x14ac:dyDescent="0.3">
      <c r="B754" s="78"/>
      <c r="C754" s="78"/>
      <c r="D754" s="78"/>
      <c r="E754" s="78"/>
    </row>
    <row r="755" spans="2:5" x14ac:dyDescent="0.3">
      <c r="B755" s="78"/>
      <c r="C755" s="78"/>
      <c r="D755" s="78"/>
      <c r="E755" s="78"/>
    </row>
    <row r="756" spans="2:5" x14ac:dyDescent="0.3">
      <c r="B756" s="78"/>
      <c r="C756" s="78"/>
      <c r="D756" s="78"/>
      <c r="E756" s="78"/>
    </row>
    <row r="757" spans="2:5" x14ac:dyDescent="0.3">
      <c r="B757" s="78"/>
      <c r="C757" s="78"/>
      <c r="D757" s="78"/>
      <c r="E757" s="78"/>
    </row>
    <row r="758" spans="2:5" x14ac:dyDescent="0.3">
      <c r="B758" s="78"/>
      <c r="C758" s="78"/>
      <c r="D758" s="78"/>
      <c r="E758" s="78"/>
    </row>
    <row r="759" spans="2:5" x14ac:dyDescent="0.3">
      <c r="B759" s="78"/>
      <c r="C759" s="78"/>
      <c r="D759" s="78"/>
      <c r="E759" s="78"/>
    </row>
    <row r="760" spans="2:5" x14ac:dyDescent="0.3">
      <c r="B760" s="78"/>
      <c r="C760" s="78"/>
      <c r="D760" s="78"/>
      <c r="E760" s="78"/>
    </row>
    <row r="761" spans="2:5" x14ac:dyDescent="0.3">
      <c r="B761" s="78"/>
      <c r="C761" s="78"/>
      <c r="D761" s="78"/>
      <c r="E761" s="78"/>
    </row>
    <row r="762" spans="2:5" x14ac:dyDescent="0.3">
      <c r="B762" s="78"/>
      <c r="C762" s="78"/>
      <c r="D762" s="78"/>
      <c r="E762" s="78"/>
    </row>
    <row r="763" spans="2:5" x14ac:dyDescent="0.3">
      <c r="B763" s="78"/>
      <c r="C763" s="78"/>
      <c r="D763" s="78"/>
      <c r="E763" s="78"/>
    </row>
    <row r="764" spans="2:5" x14ac:dyDescent="0.3">
      <c r="B764" s="78"/>
      <c r="C764" s="78"/>
      <c r="D764" s="78"/>
      <c r="E764" s="78"/>
    </row>
    <row r="765" spans="2:5" x14ac:dyDescent="0.3">
      <c r="B765" s="78"/>
      <c r="C765" s="78"/>
      <c r="D765" s="78"/>
      <c r="E765" s="78"/>
    </row>
    <row r="766" spans="2:5" x14ac:dyDescent="0.3">
      <c r="B766" s="78"/>
      <c r="C766" s="78"/>
      <c r="D766" s="78"/>
      <c r="E766" s="78"/>
    </row>
    <row r="767" spans="2:5" x14ac:dyDescent="0.3">
      <c r="B767" s="78"/>
      <c r="C767" s="78"/>
      <c r="D767" s="78"/>
      <c r="E767" s="78"/>
    </row>
    <row r="768" spans="2:5" x14ac:dyDescent="0.3">
      <c r="B768" s="78"/>
      <c r="C768" s="78"/>
      <c r="D768" s="78"/>
      <c r="E768" s="78"/>
    </row>
    <row r="769" spans="2:5" x14ac:dyDescent="0.3">
      <c r="B769" s="78"/>
      <c r="C769" s="78"/>
      <c r="D769" s="78"/>
      <c r="E769" s="78"/>
    </row>
    <row r="770" spans="2:5" x14ac:dyDescent="0.3">
      <c r="B770" s="78"/>
      <c r="C770" s="78"/>
      <c r="D770" s="78"/>
      <c r="E770" s="78"/>
    </row>
    <row r="771" spans="2:5" x14ac:dyDescent="0.3">
      <c r="B771" s="78"/>
      <c r="C771" s="78"/>
      <c r="D771" s="78"/>
      <c r="E771" s="78"/>
    </row>
    <row r="772" spans="2:5" x14ac:dyDescent="0.3">
      <c r="B772" s="78"/>
      <c r="C772" s="78"/>
      <c r="D772" s="78"/>
      <c r="E772" s="78"/>
    </row>
    <row r="773" spans="2:5" x14ac:dyDescent="0.3">
      <c r="B773" s="78"/>
      <c r="C773" s="78"/>
      <c r="D773" s="78"/>
      <c r="E773" s="78"/>
    </row>
    <row r="774" spans="2:5" x14ac:dyDescent="0.3">
      <c r="B774" s="78"/>
      <c r="C774" s="78"/>
      <c r="D774" s="78"/>
      <c r="E774" s="78"/>
    </row>
    <row r="775" spans="2:5" x14ac:dyDescent="0.3">
      <c r="B775" s="78"/>
      <c r="C775" s="78"/>
      <c r="D775" s="78"/>
      <c r="E775" s="78"/>
    </row>
    <row r="776" spans="2:5" x14ac:dyDescent="0.3">
      <c r="B776" s="78"/>
      <c r="C776" s="78"/>
      <c r="D776" s="78"/>
      <c r="E776" s="78"/>
    </row>
    <row r="777" spans="2:5" x14ac:dyDescent="0.3">
      <c r="B777" s="78"/>
      <c r="C777" s="78"/>
      <c r="D777" s="78"/>
      <c r="E777" s="78"/>
    </row>
    <row r="778" spans="2:5" x14ac:dyDescent="0.3">
      <c r="B778" s="78"/>
      <c r="C778" s="78"/>
      <c r="D778" s="78"/>
      <c r="E778" s="78"/>
    </row>
    <row r="779" spans="2:5" x14ac:dyDescent="0.3">
      <c r="B779" s="78"/>
      <c r="C779" s="78"/>
      <c r="D779" s="78"/>
      <c r="E779" s="78"/>
    </row>
    <row r="780" spans="2:5" x14ac:dyDescent="0.3">
      <c r="B780" s="78"/>
      <c r="C780" s="78"/>
      <c r="D780" s="78"/>
      <c r="E780" s="78"/>
    </row>
    <row r="781" spans="2:5" x14ac:dyDescent="0.3">
      <c r="B781" s="78"/>
      <c r="C781" s="78"/>
      <c r="D781" s="78"/>
      <c r="E781" s="78"/>
    </row>
    <row r="782" spans="2:5" x14ac:dyDescent="0.3">
      <c r="B782" s="78"/>
      <c r="C782" s="78"/>
      <c r="D782" s="78"/>
      <c r="E782" s="78"/>
    </row>
    <row r="783" spans="2:5" x14ac:dyDescent="0.3">
      <c r="B783" s="78"/>
      <c r="C783" s="78"/>
      <c r="D783" s="78"/>
      <c r="E783" s="78"/>
    </row>
    <row r="784" spans="2:5" x14ac:dyDescent="0.3">
      <c r="B784" s="78"/>
      <c r="C784" s="78"/>
      <c r="D784" s="78"/>
      <c r="E784" s="78"/>
    </row>
    <row r="785" spans="2:5" x14ac:dyDescent="0.3">
      <c r="B785" s="78"/>
      <c r="C785" s="78"/>
      <c r="D785" s="78"/>
      <c r="E785" s="78"/>
    </row>
    <row r="786" spans="2:5" x14ac:dyDescent="0.3">
      <c r="B786" s="78"/>
      <c r="C786" s="78"/>
      <c r="D786" s="78"/>
      <c r="E786" s="78"/>
    </row>
    <row r="787" spans="2:5" x14ac:dyDescent="0.3">
      <c r="B787" s="78"/>
      <c r="C787" s="78"/>
      <c r="D787" s="78"/>
      <c r="E787" s="78"/>
    </row>
    <row r="788" spans="2:5" x14ac:dyDescent="0.3">
      <c r="B788" s="78"/>
      <c r="C788" s="78"/>
      <c r="D788" s="78"/>
      <c r="E788" s="78"/>
    </row>
    <row r="789" spans="2:5" x14ac:dyDescent="0.3">
      <c r="B789" s="78"/>
      <c r="C789" s="78"/>
      <c r="D789" s="78"/>
      <c r="E789" s="78"/>
    </row>
    <row r="790" spans="2:5" x14ac:dyDescent="0.3">
      <c r="B790" s="78"/>
      <c r="C790" s="78"/>
      <c r="D790" s="78"/>
      <c r="E790" s="78"/>
    </row>
    <row r="791" spans="2:5" x14ac:dyDescent="0.3">
      <c r="B791" s="78"/>
      <c r="C791" s="78"/>
      <c r="D791" s="78"/>
      <c r="E791" s="78"/>
    </row>
    <row r="792" spans="2:5" x14ac:dyDescent="0.3">
      <c r="B792" s="78"/>
      <c r="C792" s="78"/>
      <c r="D792" s="78"/>
      <c r="E792" s="78"/>
    </row>
    <row r="793" spans="2:5" x14ac:dyDescent="0.3">
      <c r="B793" s="78"/>
      <c r="C793" s="78"/>
      <c r="D793" s="78"/>
      <c r="E793" s="78"/>
    </row>
    <row r="794" spans="2:5" x14ac:dyDescent="0.3">
      <c r="B794" s="78"/>
      <c r="C794" s="78"/>
      <c r="D794" s="78"/>
      <c r="E794" s="78"/>
    </row>
    <row r="795" spans="2:5" x14ac:dyDescent="0.3">
      <c r="B795" s="78"/>
      <c r="C795" s="78"/>
      <c r="D795" s="78"/>
      <c r="E795" s="78"/>
    </row>
    <row r="796" spans="2:5" x14ac:dyDescent="0.3">
      <c r="B796" s="78"/>
      <c r="C796" s="78"/>
      <c r="D796" s="78"/>
      <c r="E796" s="78"/>
    </row>
    <row r="797" spans="2:5" x14ac:dyDescent="0.3">
      <c r="B797" s="78"/>
      <c r="C797" s="78"/>
      <c r="D797" s="78"/>
      <c r="E797" s="78"/>
    </row>
    <row r="798" spans="2:5" x14ac:dyDescent="0.3">
      <c r="B798" s="78"/>
      <c r="C798" s="78"/>
      <c r="D798" s="78"/>
      <c r="E798" s="78"/>
    </row>
    <row r="799" spans="2:5" x14ac:dyDescent="0.3">
      <c r="B799" s="78"/>
      <c r="C799" s="78"/>
      <c r="D799" s="78"/>
      <c r="E799" s="78"/>
    </row>
    <row r="800" spans="2:5" x14ac:dyDescent="0.3">
      <c r="B800" s="78"/>
      <c r="C800" s="78"/>
      <c r="D800" s="78"/>
      <c r="E800" s="78"/>
    </row>
    <row r="801" spans="2:5" x14ac:dyDescent="0.3">
      <c r="B801" s="78"/>
      <c r="C801" s="78"/>
      <c r="D801" s="78"/>
      <c r="E801" s="78"/>
    </row>
    <row r="802" spans="2:5" x14ac:dyDescent="0.3">
      <c r="B802" s="78"/>
      <c r="C802" s="78"/>
      <c r="D802" s="78"/>
      <c r="E802" s="78"/>
    </row>
    <row r="803" spans="2:5" x14ac:dyDescent="0.3">
      <c r="B803" s="78"/>
      <c r="C803" s="78"/>
      <c r="D803" s="78"/>
      <c r="E803" s="78"/>
    </row>
    <row r="804" spans="2:5" x14ac:dyDescent="0.3">
      <c r="B804" s="78"/>
      <c r="C804" s="78"/>
      <c r="D804" s="78"/>
      <c r="E804" s="78"/>
    </row>
    <row r="805" spans="2:5" x14ac:dyDescent="0.3">
      <c r="B805" s="78"/>
      <c r="C805" s="78"/>
      <c r="D805" s="78"/>
      <c r="E805" s="78"/>
    </row>
    <row r="806" spans="2:5" x14ac:dyDescent="0.3">
      <c r="B806" s="78"/>
      <c r="C806" s="78"/>
      <c r="D806" s="78"/>
      <c r="E806" s="78"/>
    </row>
    <row r="807" spans="2:5" x14ac:dyDescent="0.3">
      <c r="B807" s="78"/>
      <c r="C807" s="78"/>
      <c r="D807" s="78"/>
      <c r="E807" s="78"/>
    </row>
    <row r="808" spans="2:5" x14ac:dyDescent="0.3">
      <c r="B808" s="78"/>
      <c r="C808" s="78"/>
      <c r="D808" s="78"/>
      <c r="E808" s="78"/>
    </row>
    <row r="809" spans="2:5" x14ac:dyDescent="0.3">
      <c r="B809" s="78"/>
      <c r="C809" s="78"/>
      <c r="D809" s="78"/>
      <c r="E809" s="78"/>
    </row>
    <row r="810" spans="2:5" x14ac:dyDescent="0.3">
      <c r="B810" s="78"/>
      <c r="C810" s="78"/>
      <c r="D810" s="78"/>
      <c r="E810" s="78"/>
    </row>
    <row r="811" spans="2:5" x14ac:dyDescent="0.3">
      <c r="B811" s="78"/>
      <c r="C811" s="78"/>
      <c r="D811" s="78"/>
      <c r="E811" s="78"/>
    </row>
    <row r="812" spans="2:5" x14ac:dyDescent="0.3">
      <c r="B812" s="78"/>
      <c r="C812" s="78"/>
      <c r="D812" s="78"/>
      <c r="E812" s="78"/>
    </row>
    <row r="813" spans="2:5" x14ac:dyDescent="0.3">
      <c r="B813" s="78"/>
      <c r="C813" s="78"/>
      <c r="D813" s="78"/>
      <c r="E813" s="78"/>
    </row>
    <row r="814" spans="2:5" x14ac:dyDescent="0.3">
      <c r="B814" s="78"/>
      <c r="C814" s="78"/>
      <c r="D814" s="78"/>
      <c r="E814" s="78"/>
    </row>
    <row r="815" spans="2:5" x14ac:dyDescent="0.3">
      <c r="B815" s="78"/>
      <c r="C815" s="78"/>
      <c r="D815" s="78"/>
      <c r="E815" s="78"/>
    </row>
    <row r="816" spans="2:5" x14ac:dyDescent="0.3">
      <c r="B816" s="78"/>
      <c r="C816" s="78"/>
      <c r="D816" s="78"/>
      <c r="E816" s="78"/>
    </row>
    <row r="817" spans="2:5" x14ac:dyDescent="0.3">
      <c r="B817" s="78"/>
      <c r="C817" s="78"/>
      <c r="D817" s="78"/>
      <c r="E817" s="78"/>
    </row>
    <row r="818" spans="2:5" x14ac:dyDescent="0.3">
      <c r="B818" s="78"/>
      <c r="C818" s="78"/>
      <c r="D818" s="78"/>
      <c r="E818" s="78"/>
    </row>
    <row r="819" spans="2:5" x14ac:dyDescent="0.3">
      <c r="B819" s="78"/>
      <c r="C819" s="78"/>
      <c r="D819" s="78"/>
      <c r="E819" s="78"/>
    </row>
    <row r="820" spans="2:5" x14ac:dyDescent="0.3">
      <c r="B820" s="78"/>
      <c r="C820" s="78"/>
      <c r="D820" s="78"/>
      <c r="E820" s="78"/>
    </row>
    <row r="821" spans="2:5" x14ac:dyDescent="0.3">
      <c r="B821" s="78"/>
      <c r="C821" s="78"/>
      <c r="D821" s="78"/>
      <c r="E821" s="78"/>
    </row>
    <row r="822" spans="2:5" x14ac:dyDescent="0.3">
      <c r="B822" s="78"/>
      <c r="C822" s="78"/>
      <c r="D822" s="78"/>
      <c r="E822" s="78"/>
    </row>
    <row r="823" spans="2:5" x14ac:dyDescent="0.3">
      <c r="B823" s="78"/>
      <c r="C823" s="78"/>
      <c r="D823" s="78"/>
      <c r="E823" s="78"/>
    </row>
    <row r="824" spans="2:5" x14ac:dyDescent="0.3">
      <c r="B824" s="78"/>
      <c r="C824" s="78"/>
      <c r="D824" s="78"/>
      <c r="E824" s="78"/>
    </row>
    <row r="825" spans="2:5" x14ac:dyDescent="0.3">
      <c r="B825" s="78"/>
      <c r="C825" s="78"/>
      <c r="D825" s="78"/>
      <c r="E825" s="78"/>
    </row>
    <row r="826" spans="2:5" x14ac:dyDescent="0.3">
      <c r="B826" s="78"/>
      <c r="C826" s="78"/>
      <c r="D826" s="78"/>
      <c r="E826" s="78"/>
    </row>
    <row r="827" spans="2:5" x14ac:dyDescent="0.3">
      <c r="B827" s="78"/>
      <c r="C827" s="78"/>
      <c r="D827" s="78"/>
      <c r="E827" s="78"/>
    </row>
    <row r="828" spans="2:5" x14ac:dyDescent="0.3">
      <c r="B828" s="78"/>
      <c r="C828" s="78"/>
      <c r="D828" s="78"/>
      <c r="E828" s="78"/>
    </row>
    <row r="829" spans="2:5" x14ac:dyDescent="0.3">
      <c r="B829" s="78"/>
      <c r="C829" s="78"/>
      <c r="D829" s="78"/>
      <c r="E829" s="78"/>
    </row>
    <row r="830" spans="2:5" x14ac:dyDescent="0.3">
      <c r="B830" s="78"/>
      <c r="C830" s="78"/>
      <c r="D830" s="78"/>
      <c r="E830" s="78"/>
    </row>
    <row r="831" spans="2:5" x14ac:dyDescent="0.3">
      <c r="B831" s="78"/>
      <c r="C831" s="78"/>
      <c r="D831" s="78"/>
      <c r="E831" s="78"/>
    </row>
    <row r="832" spans="2:5" x14ac:dyDescent="0.3">
      <c r="B832" s="78"/>
      <c r="C832" s="78"/>
      <c r="D832" s="78"/>
      <c r="E832" s="78"/>
    </row>
    <row r="833" spans="2:5" x14ac:dyDescent="0.3">
      <c r="B833" s="78"/>
      <c r="C833" s="78"/>
      <c r="D833" s="78"/>
      <c r="E833" s="78"/>
    </row>
    <row r="834" spans="2:5" x14ac:dyDescent="0.3">
      <c r="B834" s="78"/>
      <c r="C834" s="78"/>
      <c r="D834" s="78"/>
      <c r="E834" s="78"/>
    </row>
    <row r="835" spans="2:5" x14ac:dyDescent="0.3">
      <c r="B835" s="78"/>
      <c r="C835" s="78"/>
      <c r="D835" s="78"/>
      <c r="E835" s="78"/>
    </row>
    <row r="836" spans="2:5" x14ac:dyDescent="0.3">
      <c r="B836" s="78"/>
      <c r="C836" s="78"/>
      <c r="D836" s="78"/>
      <c r="E836" s="78"/>
    </row>
    <row r="837" spans="2:5" x14ac:dyDescent="0.3">
      <c r="B837" s="78"/>
      <c r="C837" s="78"/>
      <c r="D837" s="78"/>
      <c r="E837" s="78"/>
    </row>
    <row r="838" spans="2:5" x14ac:dyDescent="0.3">
      <c r="B838" s="78"/>
      <c r="C838" s="78"/>
      <c r="D838" s="78"/>
      <c r="E838" s="78"/>
    </row>
    <row r="839" spans="2:5" x14ac:dyDescent="0.3">
      <c r="B839" s="78"/>
      <c r="C839" s="78"/>
      <c r="D839" s="78"/>
      <c r="E839" s="78"/>
    </row>
    <row r="840" spans="2:5" x14ac:dyDescent="0.3">
      <c r="B840" s="78"/>
      <c r="C840" s="78"/>
      <c r="D840" s="78"/>
      <c r="E840" s="78"/>
    </row>
    <row r="841" spans="2:5" x14ac:dyDescent="0.3">
      <c r="B841" s="78"/>
      <c r="C841" s="78"/>
      <c r="D841" s="78"/>
      <c r="E841" s="78"/>
    </row>
    <row r="842" spans="2:5" x14ac:dyDescent="0.3">
      <c r="B842" s="78"/>
      <c r="C842" s="78"/>
      <c r="D842" s="78"/>
      <c r="E842" s="78"/>
    </row>
    <row r="843" spans="2:5" x14ac:dyDescent="0.3">
      <c r="B843" s="78"/>
      <c r="C843" s="78"/>
      <c r="D843" s="78"/>
      <c r="E843" s="78"/>
    </row>
    <row r="844" spans="2:5" x14ac:dyDescent="0.3">
      <c r="B844" s="78"/>
      <c r="C844" s="78"/>
      <c r="D844" s="78"/>
      <c r="E844" s="78"/>
    </row>
    <row r="845" spans="2:5" x14ac:dyDescent="0.3">
      <c r="B845" s="78"/>
      <c r="C845" s="78"/>
      <c r="D845" s="78"/>
      <c r="E845" s="78"/>
    </row>
    <row r="846" spans="2:5" x14ac:dyDescent="0.3">
      <c r="B846" s="78"/>
      <c r="C846" s="78"/>
      <c r="D846" s="78"/>
      <c r="E846" s="78"/>
    </row>
    <row r="847" spans="2:5" x14ac:dyDescent="0.3">
      <c r="B847" s="78"/>
      <c r="C847" s="78"/>
      <c r="D847" s="78"/>
      <c r="E847" s="78"/>
    </row>
    <row r="848" spans="2:5" x14ac:dyDescent="0.3">
      <c r="B848" s="78"/>
      <c r="C848" s="78"/>
      <c r="D848" s="78"/>
      <c r="E848" s="78"/>
    </row>
  </sheetData>
  <printOptions gridLines="1"/>
  <pageMargins left="0.7" right="0.7" top="1" bottom="0.75" header="0.3" footer="0.3"/>
  <pageSetup orientation="landscape" r:id="rId1"/>
  <headerFooter>
    <oddHeader>&amp;C                           PTEC
2017-2018 Apr Budget Draft March 21, 2017</oddHeader>
    <oddFooter>&amp;L&amp;D&amp;T&amp;R&amp;P</oddFooter>
  </headerFooter>
  <rowBreaks count="3" manualBreakCount="3">
    <brk id="20" max="16383" man="1"/>
    <brk id="46" max="16383" man="1"/>
    <brk id="9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topLeftCell="A4" zoomScale="115" zoomScaleNormal="115" workbookViewId="0">
      <pane xSplit="1" ySplit="3" topLeftCell="B121" activePane="bottomRight" state="frozen"/>
      <selection activeCell="A4" sqref="A4"/>
      <selection pane="topRight" activeCell="B4" sqref="B4"/>
      <selection pane="bottomLeft" activeCell="A6" sqref="A6"/>
      <selection pane="bottomRight" activeCell="P143" sqref="P143"/>
    </sheetView>
  </sheetViews>
  <sheetFormatPr defaultRowHeight="14.4" x14ac:dyDescent="0.3"/>
  <cols>
    <col min="1" max="1" width="30.33203125" style="57" customWidth="1"/>
    <col min="2" max="2" width="11.33203125" hidden="1" customWidth="1"/>
    <col min="3" max="3" width="9.5546875" bestFit="1" customWidth="1"/>
    <col min="4" max="12" width="13.6640625" hidden="1" customWidth="1"/>
    <col min="13" max="13" width="5.44140625" hidden="1" customWidth="1"/>
    <col min="14" max="14" width="13.5546875" bestFit="1" customWidth="1"/>
    <col min="15" max="15" width="7.33203125" style="339" bestFit="1" customWidth="1"/>
    <col min="16" max="16" width="14.44140625" style="353" customWidth="1"/>
    <col min="17" max="17" width="11.5546875" bestFit="1" customWidth="1"/>
    <col min="18" max="18" width="31" customWidth="1"/>
  </cols>
  <sheetData>
    <row r="1" spans="1:18" x14ac:dyDescent="0.3">
      <c r="A1" s="296" t="s">
        <v>15</v>
      </c>
      <c r="B1" s="296"/>
      <c r="C1" s="296"/>
      <c r="D1" s="296"/>
      <c r="E1" s="296"/>
      <c r="F1" s="296"/>
      <c r="G1" s="296"/>
      <c r="H1" s="296"/>
      <c r="I1" s="296"/>
      <c r="J1" s="296"/>
      <c r="K1" s="296"/>
      <c r="L1" s="296"/>
      <c r="M1" s="296"/>
      <c r="N1" s="296"/>
      <c r="O1" s="336"/>
      <c r="P1" s="248" t="s">
        <v>15</v>
      </c>
      <c r="Q1" s="248" t="s">
        <v>15</v>
      </c>
    </row>
    <row r="2" spans="1:18" x14ac:dyDescent="0.3">
      <c r="A2" s="249"/>
      <c r="B2" s="249"/>
      <c r="C2" s="249"/>
      <c r="D2" s="249"/>
      <c r="E2" s="249"/>
      <c r="F2" s="249"/>
      <c r="G2" s="249"/>
      <c r="H2" s="249"/>
      <c r="I2" s="249"/>
      <c r="J2" s="249"/>
      <c r="K2" s="249"/>
      <c r="L2" s="249"/>
      <c r="M2" s="249"/>
      <c r="N2" s="249"/>
      <c r="O2" s="296"/>
      <c r="P2" s="365" t="s">
        <v>15</v>
      </c>
      <c r="Q2" s="365" t="s">
        <v>15</v>
      </c>
    </row>
    <row r="3" spans="1:18" x14ac:dyDescent="0.3">
      <c r="A3" s="299" t="s">
        <v>495</v>
      </c>
      <c r="B3" s="297"/>
      <c r="C3" s="297"/>
      <c r="D3" s="297"/>
      <c r="E3" s="297"/>
      <c r="F3" s="297"/>
      <c r="G3" s="297"/>
      <c r="H3" s="297"/>
      <c r="I3" s="297"/>
      <c r="J3" s="297"/>
      <c r="K3" s="297"/>
      <c r="L3" s="297"/>
      <c r="M3" s="297"/>
      <c r="N3" s="297"/>
      <c r="O3" s="337" t="s">
        <v>18</v>
      </c>
      <c r="P3" s="298" t="str">
        <f>'budget entry'!D2</f>
        <v>ES</v>
      </c>
      <c r="Q3" s="298" t="e">
        <f>[3]Combined!I3</f>
        <v>#REF!</v>
      </c>
    </row>
    <row r="4" spans="1:18" x14ac:dyDescent="0.3">
      <c r="A4" s="299"/>
      <c r="B4" s="297"/>
      <c r="C4" s="297"/>
      <c r="D4" s="297"/>
      <c r="E4" s="297"/>
      <c r="F4" s="297"/>
      <c r="G4" s="297"/>
      <c r="H4" s="297"/>
      <c r="I4" s="297"/>
      <c r="J4" s="297"/>
      <c r="K4" s="297"/>
      <c r="L4" s="297"/>
      <c r="M4" s="297"/>
      <c r="N4" s="297"/>
      <c r="O4" s="337"/>
      <c r="P4" s="298">
        <f>'budget entry'!D3</f>
        <v>8300</v>
      </c>
      <c r="Q4" s="298">
        <v>8160</v>
      </c>
      <c r="R4" s="563" t="s">
        <v>18</v>
      </c>
    </row>
    <row r="5" spans="1:18" x14ac:dyDescent="0.3">
      <c r="A5" s="299" t="s">
        <v>498</v>
      </c>
      <c r="B5" s="299"/>
      <c r="C5" s="299"/>
      <c r="D5" s="299"/>
      <c r="E5" s="299"/>
      <c r="F5" s="299"/>
      <c r="G5" s="299"/>
      <c r="H5" s="299"/>
      <c r="I5" s="299"/>
      <c r="J5" s="299"/>
      <c r="K5" s="299"/>
      <c r="L5" s="299"/>
      <c r="M5" s="299"/>
      <c r="N5" s="299" t="s">
        <v>15</v>
      </c>
      <c r="O5" s="338" t="s">
        <v>15</v>
      </c>
      <c r="P5" s="562">
        <f>'budget entry'!D4</f>
        <v>532.58000000000004</v>
      </c>
      <c r="Q5" s="298">
        <v>496</v>
      </c>
      <c r="R5" s="563" t="s">
        <v>458</v>
      </c>
    </row>
    <row r="6" spans="1:18" ht="27" customHeight="1" thickBot="1" x14ac:dyDescent="0.35">
      <c r="A6" s="435" t="s">
        <v>745</v>
      </c>
      <c r="B6" s="436" t="s">
        <v>608</v>
      </c>
      <c r="C6" s="436" t="s">
        <v>609</v>
      </c>
      <c r="D6" s="436" t="s">
        <v>610</v>
      </c>
      <c r="E6" s="436" t="s">
        <v>611</v>
      </c>
      <c r="F6" s="436" t="s">
        <v>550</v>
      </c>
      <c r="G6" s="436" t="s">
        <v>551</v>
      </c>
      <c r="H6" s="436" t="s">
        <v>552</v>
      </c>
      <c r="I6" s="436" t="s">
        <v>553</v>
      </c>
      <c r="J6" s="436" t="s">
        <v>554</v>
      </c>
      <c r="K6" s="436" t="s">
        <v>555</v>
      </c>
      <c r="L6" s="436" t="s">
        <v>556</v>
      </c>
      <c r="M6" s="436" t="s">
        <v>557</v>
      </c>
      <c r="N6" s="437" t="s">
        <v>494</v>
      </c>
      <c r="O6" s="438">
        <f>2/12</f>
        <v>0.16666666666666666</v>
      </c>
      <c r="P6" s="437" t="s">
        <v>675</v>
      </c>
      <c r="Q6" s="437" t="s">
        <v>674</v>
      </c>
      <c r="R6" s="436" t="s">
        <v>319</v>
      </c>
    </row>
    <row r="7" spans="1:18" s="195" customFormat="1" ht="15" thickBot="1" x14ac:dyDescent="0.35">
      <c r="A7" s="381" t="s">
        <v>459</v>
      </c>
      <c r="B7" s="60"/>
      <c r="C7" s="60"/>
      <c r="D7" s="60"/>
      <c r="E7" s="60"/>
      <c r="F7" s="60"/>
      <c r="G7" s="60"/>
      <c r="H7" s="60"/>
      <c r="I7" s="60"/>
      <c r="J7" s="60"/>
      <c r="K7" s="60"/>
      <c r="L7" s="60"/>
      <c r="M7" s="60"/>
      <c r="N7" s="51"/>
      <c r="O7" s="355"/>
      <c r="P7" s="354"/>
      <c r="Q7" s="383"/>
    </row>
    <row r="8" spans="1:18" x14ac:dyDescent="0.3">
      <c r="A8" s="78" t="s">
        <v>18</v>
      </c>
      <c r="B8" s="332">
        <v>374051.17</v>
      </c>
      <c r="C8" s="332">
        <v>374051.17</v>
      </c>
      <c r="D8" s="332"/>
      <c r="E8" s="332"/>
      <c r="F8" s="332"/>
      <c r="G8" s="332"/>
      <c r="H8" s="332"/>
      <c r="I8" s="332"/>
      <c r="J8" s="332"/>
      <c r="K8" s="332"/>
      <c r="L8" s="332"/>
      <c r="M8" s="332"/>
      <c r="N8" s="332">
        <f>SUM(B8:M8)</f>
        <v>748102.34</v>
      </c>
      <c r="O8" s="339">
        <f t="shared" ref="O8:O20" si="0">N8/P8</f>
        <v>0.16923807136616614</v>
      </c>
      <c r="P8" s="179">
        <f>'budget entry'!D6</f>
        <v>4420414</v>
      </c>
      <c r="Q8" s="79">
        <f>'budget entry'!P6</f>
        <v>4047294</v>
      </c>
    </row>
    <row r="9" spans="1:18" x14ac:dyDescent="0.3">
      <c r="A9" s="78" t="s">
        <v>22</v>
      </c>
      <c r="B9" s="332"/>
      <c r="C9" s="332">
        <v>11420.75</v>
      </c>
      <c r="D9" s="332"/>
      <c r="E9" s="332"/>
      <c r="F9" s="332"/>
      <c r="G9" s="332"/>
      <c r="H9" s="332"/>
      <c r="I9" s="332"/>
      <c r="J9" s="332"/>
      <c r="K9" s="332"/>
      <c r="L9" s="332"/>
      <c r="M9" s="332"/>
      <c r="N9" s="332">
        <f t="shared" ref="N9:N21" si="1">SUM(B9:M9)</f>
        <v>11420.75</v>
      </c>
      <c r="O9" s="339">
        <f t="shared" si="0"/>
        <v>8.5776784708400611E-2</v>
      </c>
      <c r="P9" s="520">
        <f>'budget entry'!D7</f>
        <v>133145</v>
      </c>
      <c r="Q9" s="79">
        <f>'budget entry'!P7</f>
        <v>124000</v>
      </c>
      <c r="R9" s="172"/>
    </row>
    <row r="10" spans="1:18" x14ac:dyDescent="0.3">
      <c r="A10" s="78" t="s">
        <v>433</v>
      </c>
      <c r="B10" s="332">
        <v>21643.68</v>
      </c>
      <c r="C10" s="332">
        <v>20561.41</v>
      </c>
      <c r="D10" s="332"/>
      <c r="E10" s="332"/>
      <c r="F10" s="332"/>
      <c r="G10" s="332"/>
      <c r="H10" s="332"/>
      <c r="I10" s="332"/>
      <c r="J10" s="332"/>
      <c r="K10" s="332"/>
      <c r="L10" s="332"/>
      <c r="M10" s="332"/>
      <c r="N10" s="332">
        <f>SUM(B10:M10)</f>
        <v>42205.09</v>
      </c>
      <c r="O10" s="339">
        <f>N10/P10</f>
        <v>0.16373239545899904</v>
      </c>
      <c r="P10" s="520">
        <f>'budget entry'!D24</f>
        <v>257768.72000000003</v>
      </c>
      <c r="Q10" s="79">
        <v>198400</v>
      </c>
      <c r="R10" s="172"/>
    </row>
    <row r="11" spans="1:18" x14ac:dyDescent="0.3">
      <c r="A11" s="78" t="s">
        <v>714</v>
      </c>
      <c r="B11" s="332"/>
      <c r="C11" s="332"/>
      <c r="D11" s="332"/>
      <c r="E11" s="332"/>
      <c r="F11" s="332"/>
      <c r="G11" s="332"/>
      <c r="H11" s="332"/>
      <c r="I11" s="332"/>
      <c r="J11" s="332"/>
      <c r="K11" s="332"/>
      <c r="L11" s="332"/>
      <c r="M11" s="332"/>
      <c r="N11" s="332">
        <f>SUM(B11:M11)</f>
        <v>0</v>
      </c>
      <c r="O11" s="339">
        <f>N11/P11</f>
        <v>0</v>
      </c>
      <c r="P11" s="520">
        <f>'budget entry'!D8</f>
        <v>32000</v>
      </c>
      <c r="Q11" s="79">
        <v>0</v>
      </c>
      <c r="R11" s="172"/>
    </row>
    <row r="12" spans="1:18" x14ac:dyDescent="0.3">
      <c r="A12" s="78" t="s">
        <v>73</v>
      </c>
      <c r="B12" s="332"/>
      <c r="C12" s="332">
        <v>1488.72</v>
      </c>
      <c r="D12" s="332"/>
      <c r="E12" s="332"/>
      <c r="F12" s="332"/>
      <c r="G12" s="332"/>
      <c r="H12" s="332"/>
      <c r="I12" s="332"/>
      <c r="J12" s="332"/>
      <c r="K12" s="332"/>
      <c r="L12" s="332"/>
      <c r="M12" s="332"/>
      <c r="N12" s="332">
        <f t="shared" si="1"/>
        <v>1488.72</v>
      </c>
      <c r="O12" s="339">
        <f t="shared" si="0"/>
        <v>9.9248000000000003E-2</v>
      </c>
      <c r="P12" s="520">
        <f>'budget entry'!D9</f>
        <v>15000</v>
      </c>
      <c r="Q12" s="79">
        <v>18000</v>
      </c>
    </row>
    <row r="13" spans="1:18" x14ac:dyDescent="0.3">
      <c r="A13" s="78" t="s">
        <v>256</v>
      </c>
      <c r="B13" s="332"/>
      <c r="C13" s="332"/>
      <c r="D13" s="332"/>
      <c r="E13" s="332"/>
      <c r="F13" s="332"/>
      <c r="G13" s="332"/>
      <c r="H13" s="332"/>
      <c r="I13" s="332"/>
      <c r="J13" s="332"/>
      <c r="K13" s="332"/>
      <c r="L13" s="332"/>
      <c r="M13" s="332"/>
      <c r="N13" s="332">
        <f t="shared" si="1"/>
        <v>0</v>
      </c>
      <c r="O13" s="339">
        <f t="shared" si="0"/>
        <v>0</v>
      </c>
      <c r="P13" s="520">
        <f>+'budget entry'!D10</f>
        <v>15000</v>
      </c>
      <c r="Q13" s="79">
        <v>17000</v>
      </c>
    </row>
    <row r="14" spans="1:18" x14ac:dyDescent="0.3">
      <c r="A14" s="78" t="s">
        <v>212</v>
      </c>
      <c r="B14" s="332"/>
      <c r="C14" s="332"/>
      <c r="D14" s="332"/>
      <c r="E14" s="332"/>
      <c r="F14" s="332"/>
      <c r="G14" s="332"/>
      <c r="H14" s="332"/>
      <c r="I14" s="332"/>
      <c r="J14" s="332"/>
      <c r="K14" s="332"/>
      <c r="L14" s="332"/>
      <c r="M14" s="332"/>
      <c r="N14" s="332">
        <f t="shared" si="1"/>
        <v>0</v>
      </c>
      <c r="O14" s="339">
        <f t="shared" si="0"/>
        <v>0</v>
      </c>
      <c r="P14" s="520">
        <f>+'budget entry'!D11</f>
        <v>44000</v>
      </c>
      <c r="Q14" s="79">
        <v>45000</v>
      </c>
    </row>
    <row r="15" spans="1:18" x14ac:dyDescent="0.3">
      <c r="A15" s="78" t="s">
        <v>490</v>
      </c>
      <c r="B15" s="332"/>
      <c r="C15" s="332"/>
      <c r="D15" s="332"/>
      <c r="E15" s="332"/>
      <c r="F15" s="332"/>
      <c r="G15" s="332"/>
      <c r="H15" s="332"/>
      <c r="I15" s="332"/>
      <c r="J15" s="332"/>
      <c r="K15" s="332"/>
      <c r="L15" s="332"/>
      <c r="M15" s="332"/>
      <c r="N15" s="332">
        <f t="shared" si="1"/>
        <v>0</v>
      </c>
      <c r="O15" s="339">
        <f t="shared" si="0"/>
        <v>0</v>
      </c>
      <c r="P15" s="520">
        <f>'budget entry'!D12</f>
        <v>16000</v>
      </c>
      <c r="Q15" s="79">
        <v>20000</v>
      </c>
    </row>
    <row r="16" spans="1:18" x14ac:dyDescent="0.3">
      <c r="A16" s="78" t="s">
        <v>75</v>
      </c>
      <c r="B16" s="332"/>
      <c r="C16" s="332"/>
      <c r="D16" s="332"/>
      <c r="E16" s="332"/>
      <c r="F16" s="332"/>
      <c r="G16" s="332"/>
      <c r="H16" s="332"/>
      <c r="I16" s="332"/>
      <c r="J16" s="332"/>
      <c r="K16" s="332"/>
      <c r="L16" s="332"/>
      <c r="M16" s="332"/>
      <c r="N16" s="332">
        <f t="shared" si="1"/>
        <v>0</v>
      </c>
      <c r="O16" s="339">
        <f t="shared" si="0"/>
        <v>0</v>
      </c>
      <c r="P16" s="520">
        <f>'budget entry'!D16</f>
        <v>10000</v>
      </c>
      <c r="Q16" s="79">
        <v>12000</v>
      </c>
    </row>
    <row r="17" spans="1:18" ht="16.5" customHeight="1" x14ac:dyDescent="0.3">
      <c r="A17" s="78" t="s">
        <v>716</v>
      </c>
      <c r="B17" s="332">
        <v>160</v>
      </c>
      <c r="C17" s="332">
        <v>23402.5</v>
      </c>
      <c r="D17" s="332"/>
      <c r="E17" s="332"/>
      <c r="F17" s="332"/>
      <c r="G17" s="332"/>
      <c r="H17" s="332"/>
      <c r="I17" s="332"/>
      <c r="J17" s="332"/>
      <c r="K17" s="332"/>
      <c r="L17" s="332"/>
      <c r="M17" s="332"/>
      <c r="N17" s="332">
        <f t="shared" si="1"/>
        <v>23562.5</v>
      </c>
      <c r="O17" s="339">
        <f t="shared" si="0"/>
        <v>0.98177083333333337</v>
      </c>
      <c r="P17" s="520">
        <f>'budget entry'!D19</f>
        <v>24000</v>
      </c>
      <c r="Q17" s="79">
        <v>24000</v>
      </c>
      <c r="R17" s="373"/>
    </row>
    <row r="18" spans="1:18" x14ac:dyDescent="0.3">
      <c r="A18" s="78" t="s">
        <v>63</v>
      </c>
      <c r="B18" s="332">
        <f>1265.78+1.11+2093.47</f>
        <v>3360.3599999999997</v>
      </c>
      <c r="C18" s="332">
        <v>5593.16</v>
      </c>
      <c r="D18" s="332"/>
      <c r="E18" s="332"/>
      <c r="F18" s="332"/>
      <c r="G18" s="332"/>
      <c r="H18" s="332"/>
      <c r="I18" s="332"/>
      <c r="J18" s="332"/>
      <c r="K18" s="332"/>
      <c r="L18" s="332"/>
      <c r="M18" s="332"/>
      <c r="N18" s="332">
        <f>SUM(B18:M18)</f>
        <v>8953.52</v>
      </c>
      <c r="O18" s="339">
        <f>N18/P18</f>
        <v>0.35814080000000004</v>
      </c>
      <c r="P18" s="520">
        <f>'budget entry'!D23</f>
        <v>25000</v>
      </c>
      <c r="Q18" s="79">
        <v>20000</v>
      </c>
    </row>
    <row r="19" spans="1:18" x14ac:dyDescent="0.3">
      <c r="A19" s="78" t="s">
        <v>715</v>
      </c>
      <c r="B19" s="332"/>
      <c r="C19" s="332"/>
      <c r="D19" s="332"/>
      <c r="E19" s="332"/>
      <c r="F19" s="332"/>
      <c r="G19" s="332"/>
      <c r="H19" s="332"/>
      <c r="I19" s="332"/>
      <c r="J19" s="332"/>
      <c r="K19" s="332"/>
      <c r="L19" s="332"/>
      <c r="M19" s="332"/>
      <c r="N19" s="332">
        <f>SUM(B19:M19)</f>
        <v>0</v>
      </c>
      <c r="O19" s="339">
        <f>N19/P19</f>
        <v>0</v>
      </c>
      <c r="P19" s="520">
        <f>'budget entry'!D27</f>
        <v>8378</v>
      </c>
      <c r="Q19" s="79">
        <v>0</v>
      </c>
    </row>
    <row r="20" spans="1:18" x14ac:dyDescent="0.3">
      <c r="A20" s="78" t="s">
        <v>25</v>
      </c>
      <c r="B20" s="332">
        <v>6274.08</v>
      </c>
      <c r="C20" s="332">
        <f>2640+5261.45</f>
        <v>7901.45</v>
      </c>
      <c r="D20" s="332"/>
      <c r="E20" s="332"/>
      <c r="F20" s="332"/>
      <c r="G20" s="332"/>
      <c r="H20" s="332"/>
      <c r="I20" s="332"/>
      <c r="J20" s="332"/>
      <c r="K20" s="332"/>
      <c r="L20" s="332"/>
      <c r="M20" s="332"/>
      <c r="N20" s="332">
        <f t="shared" si="1"/>
        <v>14175.529999999999</v>
      </c>
      <c r="O20" s="339">
        <f t="shared" si="0"/>
        <v>0.30419592274678109</v>
      </c>
      <c r="P20" s="520">
        <f>'budget entry'!D21+'budget entry'!D22</f>
        <v>46600</v>
      </c>
      <c r="Q20" s="79">
        <v>11500</v>
      </c>
    </row>
    <row r="21" spans="1:18" x14ac:dyDescent="0.3">
      <c r="A21" s="78" t="s">
        <v>461</v>
      </c>
      <c r="B21" s="334"/>
      <c r="C21" s="334"/>
      <c r="D21" s="334"/>
      <c r="E21" s="334"/>
      <c r="F21" s="334"/>
      <c r="G21" s="334"/>
      <c r="H21" s="334"/>
      <c r="I21" s="334"/>
      <c r="J21" s="334"/>
      <c r="K21" s="334"/>
      <c r="L21" s="334"/>
      <c r="M21" s="334"/>
      <c r="N21" s="334">
        <f t="shared" si="1"/>
        <v>0</v>
      </c>
      <c r="O21" s="340" t="s">
        <v>15</v>
      </c>
      <c r="P21" s="521"/>
      <c r="Q21" s="79">
        <f>'budget entry'!P19</f>
        <v>0</v>
      </c>
    </row>
    <row r="22" spans="1:18" x14ac:dyDescent="0.3">
      <c r="A22" s="248" t="s">
        <v>493</v>
      </c>
      <c r="B22" s="335">
        <f>SUM(B8:B21)</f>
        <v>405489.29</v>
      </c>
      <c r="C22" s="393">
        <f>SUM(C8:C21)</f>
        <v>444419.15999999992</v>
      </c>
      <c r="D22" s="393">
        <f>SUM(D8:D21)</f>
        <v>0</v>
      </c>
      <c r="E22" s="393">
        <f>SUM(E8:E21)</f>
        <v>0</v>
      </c>
      <c r="F22" s="393">
        <f t="shared" ref="F22:M22" si="2">SUM(F8:F21)</f>
        <v>0</v>
      </c>
      <c r="G22" s="393">
        <f t="shared" si="2"/>
        <v>0</v>
      </c>
      <c r="H22" s="393">
        <f t="shared" si="2"/>
        <v>0</v>
      </c>
      <c r="I22" s="393">
        <f t="shared" si="2"/>
        <v>0</v>
      </c>
      <c r="J22" s="393">
        <f t="shared" si="2"/>
        <v>0</v>
      </c>
      <c r="K22" s="393">
        <f t="shared" si="2"/>
        <v>0</v>
      </c>
      <c r="L22" s="393">
        <f t="shared" si="2"/>
        <v>0</v>
      </c>
      <c r="M22" s="393">
        <f t="shared" si="2"/>
        <v>0</v>
      </c>
      <c r="N22" s="393">
        <f>SUM(N8:N21)</f>
        <v>849908.45</v>
      </c>
      <c r="O22" s="339">
        <f>N22/P22</f>
        <v>0.16838854175847306</v>
      </c>
      <c r="P22" s="248">
        <f>SUM(P8:P21)</f>
        <v>5047305.72</v>
      </c>
      <c r="Q22" s="248">
        <f>SUM(Q8:Q21)</f>
        <v>4537194</v>
      </c>
    </row>
    <row r="23" spans="1:18" ht="7.2" customHeight="1" x14ac:dyDescent="0.3">
      <c r="P23" s="259"/>
      <c r="Q23" s="259"/>
    </row>
    <row r="24" spans="1:18" ht="15" thickBot="1" x14ac:dyDescent="0.35">
      <c r="A24" s="260" t="s">
        <v>463</v>
      </c>
      <c r="P24" s="259"/>
      <c r="Q24" s="259"/>
    </row>
    <row r="25" spans="1:18" x14ac:dyDescent="0.3">
      <c r="A25" s="261" t="s">
        <v>30</v>
      </c>
      <c r="P25" s="262"/>
      <c r="Q25" s="262"/>
    </row>
    <row r="26" spans="1:18" x14ac:dyDescent="0.3">
      <c r="A26" s="102" t="s">
        <v>1</v>
      </c>
      <c r="P26" s="262"/>
      <c r="Q26" s="262"/>
    </row>
    <row r="27" spans="1:18" x14ac:dyDescent="0.3">
      <c r="A27" s="78" t="s">
        <v>111</v>
      </c>
      <c r="B27" s="78">
        <f>62607.74+36347.03+1234.59</f>
        <v>100189.35999999999</v>
      </c>
      <c r="C27" s="78">
        <f>41157.54+64993.47+1302.8</f>
        <v>107453.81000000001</v>
      </c>
      <c r="D27" s="78"/>
      <c r="E27" s="78"/>
      <c r="F27" s="78"/>
      <c r="G27" s="78"/>
      <c r="H27" s="78"/>
      <c r="I27" s="78"/>
      <c r="J27" s="78"/>
      <c r="K27" s="78"/>
      <c r="L27" s="78"/>
      <c r="M27" s="78"/>
      <c r="N27" s="332">
        <f>SUM(B27:M27)</f>
        <v>207643.16999999998</v>
      </c>
      <c r="O27" s="339">
        <f t="shared" ref="O27:O38" si="3">N27/P27</f>
        <v>0.15635780873493973</v>
      </c>
      <c r="P27" s="78">
        <f>'budget entry'!D34</f>
        <v>1328000</v>
      </c>
      <c r="Q27" s="78">
        <v>1346408</v>
      </c>
    </row>
    <row r="28" spans="1:18" ht="19.2" customHeight="1" x14ac:dyDescent="0.3">
      <c r="A28" s="78" t="s">
        <v>112</v>
      </c>
      <c r="B28" s="78"/>
      <c r="C28" s="78">
        <v>1157.3499999999999</v>
      </c>
      <c r="D28" s="78"/>
      <c r="E28" s="78"/>
      <c r="F28" s="78"/>
      <c r="G28" s="78"/>
      <c r="H28" s="78"/>
      <c r="I28" s="78"/>
      <c r="J28" s="78"/>
      <c r="K28" s="78"/>
      <c r="L28" s="78"/>
      <c r="M28" s="78"/>
      <c r="N28" s="332">
        <f>SUM(B28:M28)</f>
        <v>1157.3499999999999</v>
      </c>
      <c r="O28" s="339">
        <f t="shared" si="3"/>
        <v>6.0913157894736836E-2</v>
      </c>
      <c r="P28" s="78">
        <f>'budget entry'!D35</f>
        <v>19000</v>
      </c>
      <c r="Q28" s="78">
        <v>19000</v>
      </c>
    </row>
    <row r="29" spans="1:18" ht="19.2" customHeight="1" x14ac:dyDescent="0.3">
      <c r="A29" s="78" t="s">
        <v>291</v>
      </c>
      <c r="B29" s="78"/>
      <c r="C29" s="78"/>
      <c r="D29" s="78"/>
      <c r="E29" s="78"/>
      <c r="F29" s="78"/>
      <c r="G29" s="78"/>
      <c r="H29" s="78"/>
      <c r="I29" s="78"/>
      <c r="J29" s="78"/>
      <c r="K29" s="78"/>
      <c r="L29" s="78"/>
      <c r="M29" s="78"/>
      <c r="N29" s="332"/>
      <c r="P29" s="78">
        <f>'budget entry'!D37</f>
        <v>80667</v>
      </c>
      <c r="Q29" s="78"/>
    </row>
    <row r="30" spans="1:18" x14ac:dyDescent="0.3">
      <c r="A30" s="78" t="s">
        <v>113</v>
      </c>
      <c r="B30" s="103">
        <v>1750</v>
      </c>
      <c r="C30" s="103">
        <f>2268.33+3349</f>
        <v>5617.33</v>
      </c>
      <c r="D30" s="103"/>
      <c r="E30" s="103"/>
      <c r="F30" s="103"/>
      <c r="G30" s="103"/>
      <c r="H30" s="103"/>
      <c r="I30" s="103"/>
      <c r="J30" s="103"/>
      <c r="K30" s="103"/>
      <c r="L30" s="103"/>
      <c r="M30" s="103"/>
      <c r="N30" s="334">
        <f>SUM(B30:M30)</f>
        <v>7367.33</v>
      </c>
      <c r="O30" s="339">
        <f t="shared" si="3"/>
        <v>0.15221756198347108</v>
      </c>
      <c r="P30" s="103">
        <f>'budget entry'!D36</f>
        <v>48400</v>
      </c>
      <c r="Q30" s="103">
        <v>47000</v>
      </c>
    </row>
    <row r="31" spans="1:18" x14ac:dyDescent="0.3">
      <c r="A31" s="78" t="s">
        <v>114</v>
      </c>
      <c r="B31" s="77">
        <f t="shared" ref="B31:N31" si="4">SUM(B27:B30)</f>
        <v>101939.35999999999</v>
      </c>
      <c r="C31" s="77">
        <f t="shared" si="4"/>
        <v>114228.49000000002</v>
      </c>
      <c r="D31" s="77">
        <f t="shared" si="4"/>
        <v>0</v>
      </c>
      <c r="E31" s="77">
        <f t="shared" si="4"/>
        <v>0</v>
      </c>
      <c r="F31" s="77">
        <f t="shared" si="4"/>
        <v>0</v>
      </c>
      <c r="G31" s="77">
        <f t="shared" si="4"/>
        <v>0</v>
      </c>
      <c r="H31" s="77">
        <f t="shared" si="4"/>
        <v>0</v>
      </c>
      <c r="I31" s="77">
        <f t="shared" si="4"/>
        <v>0</v>
      </c>
      <c r="J31" s="77">
        <f t="shared" si="4"/>
        <v>0</v>
      </c>
      <c r="K31" s="77">
        <f t="shared" si="4"/>
        <v>0</v>
      </c>
      <c r="L31" s="77">
        <f t="shared" si="4"/>
        <v>0</v>
      </c>
      <c r="M31" s="77">
        <f t="shared" si="4"/>
        <v>0</v>
      </c>
      <c r="N31" s="77">
        <f t="shared" si="4"/>
        <v>216167.84999999998</v>
      </c>
      <c r="O31" s="339">
        <f t="shared" si="3"/>
        <v>0.14644853519521808</v>
      </c>
      <c r="P31" s="77">
        <f>SUM(P27:P30)</f>
        <v>1476067</v>
      </c>
      <c r="Q31" s="77">
        <f>SUM(Q27:Q30)</f>
        <v>1412408</v>
      </c>
    </row>
    <row r="32" spans="1:18" x14ac:dyDescent="0.3">
      <c r="A32" s="78" t="s">
        <v>497</v>
      </c>
      <c r="B32" s="76">
        <f>38493.3+269.78</f>
        <v>38763.08</v>
      </c>
      <c r="C32" s="76">
        <f>284.67+43500.5</f>
        <v>43785.17</v>
      </c>
      <c r="D32" s="76"/>
      <c r="E32" s="76"/>
      <c r="F32" s="76"/>
      <c r="G32" s="76"/>
      <c r="H32" s="76"/>
      <c r="I32" s="76"/>
      <c r="J32" s="76"/>
      <c r="K32" s="76"/>
      <c r="L32" s="76"/>
      <c r="M32" s="76"/>
      <c r="N32" s="332">
        <f t="shared" ref="N32:N37" si="5">SUM(B32:M32)</f>
        <v>82548.25</v>
      </c>
      <c r="O32" s="339">
        <f t="shared" si="3"/>
        <v>0.11214810927766547</v>
      </c>
      <c r="P32" s="78">
        <f>'budget entry'!D43</f>
        <v>736064.57149999996</v>
      </c>
      <c r="Q32" s="76">
        <v>734762</v>
      </c>
    </row>
    <row r="33" spans="1:17" x14ac:dyDescent="0.3">
      <c r="A33" s="78" t="s">
        <v>82</v>
      </c>
      <c r="B33" s="76">
        <v>1814</v>
      </c>
      <c r="C33" s="76">
        <v>3628.42</v>
      </c>
      <c r="D33" s="76"/>
      <c r="E33" s="76"/>
      <c r="F33" s="76"/>
      <c r="G33" s="76"/>
      <c r="H33" s="76"/>
      <c r="I33" s="76"/>
      <c r="J33" s="76"/>
      <c r="K33" s="76"/>
      <c r="L33" s="76"/>
      <c r="M33" s="76"/>
      <c r="N33" s="332">
        <f t="shared" si="5"/>
        <v>5442.42</v>
      </c>
      <c r="O33" s="339">
        <f t="shared" si="3"/>
        <v>0.17007562500000001</v>
      </c>
      <c r="P33" s="78">
        <f>'budget entry'!D45</f>
        <v>32000</v>
      </c>
      <c r="Q33" s="76">
        <v>32000</v>
      </c>
    </row>
    <row r="34" spans="1:17" x14ac:dyDescent="0.3">
      <c r="A34" s="78" t="s">
        <v>455</v>
      </c>
      <c r="B34" s="76">
        <v>13000</v>
      </c>
      <c r="C34" s="76">
        <v>13000</v>
      </c>
      <c r="D34" s="76"/>
      <c r="E34" s="76"/>
      <c r="F34" s="76"/>
      <c r="G34" s="76"/>
      <c r="H34" s="76"/>
      <c r="I34" s="76"/>
      <c r="J34" s="76"/>
      <c r="K34" s="76"/>
      <c r="L34" s="76"/>
      <c r="M34" s="76"/>
      <c r="N34" s="332">
        <f t="shared" si="5"/>
        <v>26000</v>
      </c>
      <c r="O34" s="339">
        <f t="shared" si="3"/>
        <v>7.85024154589372E-2</v>
      </c>
      <c r="P34" s="78">
        <f>'budget entry'!D46</f>
        <v>331200</v>
      </c>
      <c r="Q34" s="76">
        <v>303003</v>
      </c>
    </row>
    <row r="35" spans="1:17" x14ac:dyDescent="0.3">
      <c r="A35" s="78" t="s">
        <v>276</v>
      </c>
      <c r="B35" s="76"/>
      <c r="C35" s="76">
        <v>5902.71</v>
      </c>
      <c r="D35" s="76"/>
      <c r="E35" s="76"/>
      <c r="F35" s="76"/>
      <c r="G35" s="76"/>
      <c r="H35" s="76"/>
      <c r="I35" s="76"/>
      <c r="J35" s="76"/>
      <c r="K35" s="76"/>
      <c r="L35" s="76"/>
      <c r="M35" s="76"/>
      <c r="N35" s="332">
        <f t="shared" si="5"/>
        <v>5902.71</v>
      </c>
      <c r="O35" s="339">
        <f t="shared" si="3"/>
        <v>0.19675699999999999</v>
      </c>
      <c r="P35" s="78">
        <f>'budget entry'!D47</f>
        <v>30000</v>
      </c>
      <c r="Q35" s="76">
        <v>33000</v>
      </c>
    </row>
    <row r="36" spans="1:17" x14ac:dyDescent="0.3">
      <c r="A36" s="78" t="s">
        <v>85</v>
      </c>
      <c r="B36" s="76"/>
      <c r="C36" s="76">
        <v>86.4</v>
      </c>
      <c r="D36" s="76"/>
      <c r="E36" s="76"/>
      <c r="F36" s="76"/>
      <c r="G36" s="76"/>
      <c r="H36" s="76"/>
      <c r="I36" s="76"/>
      <c r="J36" s="76"/>
      <c r="K36" s="76"/>
      <c r="L36" s="76"/>
      <c r="M36" s="76"/>
      <c r="N36" s="332">
        <f t="shared" si="5"/>
        <v>86.4</v>
      </c>
      <c r="O36" s="339">
        <f t="shared" si="3"/>
        <v>2.8800000000000002E-3</v>
      </c>
      <c r="P36" s="78">
        <f>'budget entry'!D48</f>
        <v>30000</v>
      </c>
      <c r="Q36" s="76">
        <v>22000</v>
      </c>
    </row>
    <row r="37" spans="1:17" x14ac:dyDescent="0.3">
      <c r="A37" s="78" t="s">
        <v>538</v>
      </c>
      <c r="B37" s="63"/>
      <c r="C37" s="63">
        <v>568.91999999999996</v>
      </c>
      <c r="D37" s="63"/>
      <c r="E37" s="63"/>
      <c r="F37" s="63"/>
      <c r="G37" s="63"/>
      <c r="H37" s="63"/>
      <c r="I37" s="63"/>
      <c r="J37" s="63"/>
      <c r="K37" s="63"/>
      <c r="L37" s="63"/>
      <c r="M37" s="63"/>
      <c r="N37" s="334">
        <f t="shared" si="5"/>
        <v>568.91999999999996</v>
      </c>
      <c r="O37" s="339">
        <f t="shared" si="3"/>
        <v>7.9530299853218696E-3</v>
      </c>
      <c r="P37" s="103">
        <f>+'budget entry'!D51+'budget entry'!D50</f>
        <v>71535</v>
      </c>
      <c r="Q37" s="63">
        <f>19535+5000</f>
        <v>24535</v>
      </c>
    </row>
    <row r="38" spans="1:17" s="195" customFormat="1" x14ac:dyDescent="0.3">
      <c r="A38" s="60" t="s">
        <v>135</v>
      </c>
      <c r="B38" s="60">
        <f t="shared" ref="B38:N38" si="6">SUM(B31:B37)</f>
        <v>155516.44</v>
      </c>
      <c r="C38" s="60">
        <f t="shared" si="6"/>
        <v>181200.11000000004</v>
      </c>
      <c r="D38" s="60">
        <f t="shared" si="6"/>
        <v>0</v>
      </c>
      <c r="E38" s="60">
        <f t="shared" si="6"/>
        <v>0</v>
      </c>
      <c r="F38" s="60">
        <f t="shared" si="6"/>
        <v>0</v>
      </c>
      <c r="G38" s="60">
        <f t="shared" si="6"/>
        <v>0</v>
      </c>
      <c r="H38" s="60">
        <f t="shared" si="6"/>
        <v>0</v>
      </c>
      <c r="I38" s="60">
        <f t="shared" si="6"/>
        <v>0</v>
      </c>
      <c r="J38" s="60">
        <f t="shared" si="6"/>
        <v>0</v>
      </c>
      <c r="K38" s="60">
        <f t="shared" si="6"/>
        <v>0</v>
      </c>
      <c r="L38" s="60">
        <f t="shared" si="6"/>
        <v>0</v>
      </c>
      <c r="M38" s="60">
        <f t="shared" si="6"/>
        <v>0</v>
      </c>
      <c r="N38" s="60">
        <f t="shared" si="6"/>
        <v>336716.55</v>
      </c>
      <c r="O38" s="339">
        <f t="shared" si="3"/>
        <v>0.12439347899346578</v>
      </c>
      <c r="P38" s="60">
        <f>SUM(P31:P37)</f>
        <v>2706866.5715000001</v>
      </c>
      <c r="Q38" s="60">
        <f>SUM(Q31:Q37)</f>
        <v>2561708</v>
      </c>
    </row>
    <row r="39" spans="1:17" s="195" customFormat="1" ht="10.199999999999999" customHeight="1" x14ac:dyDescent="0.3">
      <c r="A39" s="51"/>
      <c r="B39" s="51"/>
      <c r="C39" s="51"/>
      <c r="D39" s="51"/>
      <c r="E39" s="51"/>
      <c r="F39" s="51"/>
      <c r="G39" s="51"/>
      <c r="H39" s="51"/>
      <c r="I39" s="51"/>
      <c r="J39" s="51"/>
      <c r="K39" s="51"/>
      <c r="L39" s="51"/>
      <c r="M39" s="51"/>
      <c r="N39" s="51"/>
      <c r="O39" s="339"/>
      <c r="P39" s="51"/>
      <c r="Q39" s="51"/>
    </row>
    <row r="40" spans="1:17" s="195" customFormat="1" x14ac:dyDescent="0.3">
      <c r="A40" s="128" t="s">
        <v>35</v>
      </c>
      <c r="B40" s="51"/>
      <c r="C40" s="51"/>
      <c r="D40" s="51"/>
      <c r="E40" s="51"/>
      <c r="F40" s="51"/>
      <c r="G40" s="51"/>
      <c r="H40" s="51"/>
      <c r="I40" s="51"/>
      <c r="J40" s="51"/>
      <c r="K40" s="51"/>
      <c r="L40" s="51"/>
      <c r="M40" s="51"/>
      <c r="N40" s="51"/>
      <c r="O40" s="339"/>
      <c r="P40" s="51"/>
      <c r="Q40" s="51"/>
    </row>
    <row r="41" spans="1:17" s="195" customFormat="1" ht="15.75" customHeight="1" x14ac:dyDescent="0.3">
      <c r="A41" s="78" t="s">
        <v>120</v>
      </c>
      <c r="B41" s="79">
        <v>9278.89</v>
      </c>
      <c r="C41" s="79">
        <v>9315.4</v>
      </c>
      <c r="D41" s="79"/>
      <c r="E41" s="79"/>
      <c r="F41" s="79"/>
      <c r="G41" s="79"/>
      <c r="H41" s="79"/>
      <c r="I41" s="79"/>
      <c r="J41" s="79"/>
      <c r="K41" s="79"/>
      <c r="L41" s="79"/>
      <c r="M41" s="79"/>
      <c r="N41" s="332">
        <f>SUM(B41:M41)</f>
        <v>18594.29</v>
      </c>
      <c r="O41" s="339">
        <f t="shared" ref="O41:O46" si="7">N41/P41</f>
        <v>0.15604472977509232</v>
      </c>
      <c r="P41" s="79">
        <f>+'budget entry'!D55</f>
        <v>119160</v>
      </c>
      <c r="Q41" s="79">
        <v>119680</v>
      </c>
    </row>
    <row r="42" spans="1:17" s="195" customFormat="1" x14ac:dyDescent="0.3">
      <c r="A42" s="78" t="s">
        <v>497</v>
      </c>
      <c r="B42" s="77">
        <v>2918.08</v>
      </c>
      <c r="C42" s="77">
        <v>3466.77</v>
      </c>
      <c r="D42" s="77"/>
      <c r="E42" s="77"/>
      <c r="F42" s="77"/>
      <c r="G42" s="77"/>
      <c r="H42" s="77"/>
      <c r="I42" s="77"/>
      <c r="J42" s="77"/>
      <c r="K42" s="77"/>
      <c r="L42" s="77"/>
      <c r="M42" s="77"/>
      <c r="N42" s="332">
        <f>SUM(B42:M42)</f>
        <v>6384.85</v>
      </c>
      <c r="O42" s="339">
        <f t="shared" si="7"/>
        <v>0.11707488898252656</v>
      </c>
      <c r="P42" s="77">
        <f>+'budget entry'!D56+'budget entry'!D57+'budget entry'!D58</f>
        <v>54536.46</v>
      </c>
      <c r="Q42" s="77">
        <f>1735+24415+1496+29432</f>
        <v>57078</v>
      </c>
    </row>
    <row r="43" spans="1:17" s="195" customFormat="1" x14ac:dyDescent="0.3">
      <c r="A43" s="78" t="s">
        <v>466</v>
      </c>
      <c r="B43" s="77"/>
      <c r="C43" s="77"/>
      <c r="D43" s="77"/>
      <c r="E43" s="77"/>
      <c r="F43" s="77"/>
      <c r="G43" s="77"/>
      <c r="H43" s="77"/>
      <c r="I43" s="77"/>
      <c r="J43" s="77"/>
      <c r="K43" s="77"/>
      <c r="L43" s="77"/>
      <c r="M43" s="77"/>
      <c r="N43" s="332">
        <f>SUM(B43:M43)</f>
        <v>0</v>
      </c>
      <c r="O43" s="339" t="s">
        <v>15</v>
      </c>
      <c r="P43" s="77">
        <f>'budget entry'!D59</f>
        <v>5000</v>
      </c>
      <c r="Q43" s="77">
        <v>1000</v>
      </c>
    </row>
    <row r="44" spans="1:17" s="195" customFormat="1" x14ac:dyDescent="0.3">
      <c r="A44" s="78" t="s">
        <v>467</v>
      </c>
      <c r="B44" s="77"/>
      <c r="C44" s="77">
        <v>714.88</v>
      </c>
      <c r="D44" s="77"/>
      <c r="E44" s="77"/>
      <c r="F44" s="77"/>
      <c r="G44" s="77"/>
      <c r="H44" s="77"/>
      <c r="I44" s="77"/>
      <c r="J44" s="77"/>
      <c r="K44" s="77"/>
      <c r="L44" s="77"/>
      <c r="M44" s="77"/>
      <c r="N44" s="332">
        <f>SUM(B44:M44)</f>
        <v>714.88</v>
      </c>
      <c r="O44" s="339">
        <f t="shared" si="7"/>
        <v>8.9359999999999995E-2</v>
      </c>
      <c r="P44" s="77">
        <f>'budget entry'!D60</f>
        <v>8000</v>
      </c>
      <c r="Q44" s="77">
        <v>8333</v>
      </c>
    </row>
    <row r="45" spans="1:17" s="195" customFormat="1" x14ac:dyDescent="0.3">
      <c r="A45" s="78" t="s">
        <v>75</v>
      </c>
      <c r="B45" s="81"/>
      <c r="C45" s="81">
        <f>189+23.74</f>
        <v>212.74</v>
      </c>
      <c r="D45" s="81"/>
      <c r="E45" s="81"/>
      <c r="F45" s="81"/>
      <c r="G45" s="81"/>
      <c r="H45" s="81"/>
      <c r="I45" s="81"/>
      <c r="J45" s="81"/>
      <c r="K45" s="81"/>
      <c r="L45" s="81"/>
      <c r="M45" s="81"/>
      <c r="N45" s="334">
        <f>SUM(B45:M45)</f>
        <v>212.74</v>
      </c>
      <c r="O45" s="339">
        <f t="shared" si="7"/>
        <v>2.1274000000000001E-2</v>
      </c>
      <c r="P45" s="81">
        <f>'budget entry'!D61</f>
        <v>10000</v>
      </c>
      <c r="Q45" s="81">
        <v>12000</v>
      </c>
    </row>
    <row r="46" spans="1:17" s="195" customFormat="1" x14ac:dyDescent="0.3">
      <c r="A46" s="60" t="s">
        <v>142</v>
      </c>
      <c r="B46" s="60">
        <f>SUM(B41:B45)</f>
        <v>12196.97</v>
      </c>
      <c r="C46" s="60">
        <f>SUM(C41:C45)</f>
        <v>13709.789999999999</v>
      </c>
      <c r="D46" s="60">
        <f>SUM(D41:D45)</f>
        <v>0</v>
      </c>
      <c r="E46" s="60">
        <f>SUM(E41:E45)</f>
        <v>0</v>
      </c>
      <c r="F46" s="60">
        <f t="shared" ref="F46:M46" si="8">SUM(F41:F45)</f>
        <v>0</v>
      </c>
      <c r="G46" s="60">
        <f t="shared" si="8"/>
        <v>0</v>
      </c>
      <c r="H46" s="60">
        <f t="shared" si="8"/>
        <v>0</v>
      </c>
      <c r="I46" s="60">
        <f t="shared" si="8"/>
        <v>0</v>
      </c>
      <c r="J46" s="60">
        <f t="shared" si="8"/>
        <v>0</v>
      </c>
      <c r="K46" s="60">
        <f>SUM(K41:K45)</f>
        <v>0</v>
      </c>
      <c r="L46" s="60">
        <f t="shared" si="8"/>
        <v>0</v>
      </c>
      <c r="M46" s="60">
        <f t="shared" si="8"/>
        <v>0</v>
      </c>
      <c r="N46" s="60">
        <f>SUM(N41:N45)</f>
        <v>25906.760000000002</v>
      </c>
      <c r="O46" s="339">
        <f t="shared" si="7"/>
        <v>0.131709335287478</v>
      </c>
      <c r="P46" s="60">
        <f>SUM(P41:P45)</f>
        <v>196696.46</v>
      </c>
      <c r="Q46" s="60">
        <f>SUM(Q41:Q45)</f>
        <v>198091</v>
      </c>
    </row>
    <row r="47" spans="1:17" s="195" customFormat="1" ht="5.4" customHeight="1" x14ac:dyDescent="0.3">
      <c r="A47" s="51"/>
      <c r="B47" s="51"/>
      <c r="C47" s="51"/>
      <c r="D47" s="51"/>
      <c r="E47" s="51"/>
      <c r="F47" s="51"/>
      <c r="G47" s="51"/>
      <c r="H47" s="51"/>
      <c r="I47" s="51"/>
      <c r="J47" s="51"/>
      <c r="K47" s="51"/>
      <c r="L47" s="51"/>
      <c r="M47" s="51"/>
      <c r="N47" s="51"/>
      <c r="O47" s="339"/>
      <c r="P47" s="51"/>
      <c r="Q47" s="51"/>
    </row>
    <row r="48" spans="1:17" s="195" customFormat="1" x14ac:dyDescent="0.3">
      <c r="A48" s="128" t="s">
        <v>126</v>
      </c>
      <c r="B48" s="51"/>
      <c r="C48" s="51"/>
      <c r="D48" s="51"/>
      <c r="E48" s="51"/>
      <c r="F48" s="51"/>
      <c r="G48" s="51"/>
      <c r="H48" s="51"/>
      <c r="I48" s="51"/>
      <c r="J48" s="51"/>
      <c r="K48" s="51"/>
      <c r="L48" s="51"/>
      <c r="M48" s="51"/>
      <c r="N48" s="51"/>
      <c r="O48" s="339"/>
      <c r="P48" s="51" t="s">
        <v>15</v>
      </c>
      <c r="Q48" s="51"/>
    </row>
    <row r="49" spans="1:18" s="195" customFormat="1" x14ac:dyDescent="0.3">
      <c r="A49" s="78" t="s">
        <v>1</v>
      </c>
      <c r="B49" s="78"/>
      <c r="C49" s="78">
        <v>2186</v>
      </c>
      <c r="D49" s="78"/>
      <c r="E49" s="78"/>
      <c r="F49" s="78"/>
      <c r="G49" s="78"/>
      <c r="H49" s="78"/>
      <c r="I49" s="78"/>
      <c r="J49" s="78"/>
      <c r="K49" s="78"/>
      <c r="L49" s="78"/>
      <c r="M49" s="78"/>
      <c r="N49" s="332">
        <f>SUM(B49:M49)</f>
        <v>2186</v>
      </c>
      <c r="O49" s="339">
        <f>N49/P49</f>
        <v>6.2457142857142857E-2</v>
      </c>
      <c r="P49" s="78">
        <f>+'budget entry'!D70</f>
        <v>35000</v>
      </c>
      <c r="Q49" s="78">
        <v>59690</v>
      </c>
      <c r="R49" s="197"/>
    </row>
    <row r="50" spans="1:18" s="195" customFormat="1" x14ac:dyDescent="0.3">
      <c r="A50" s="78" t="s">
        <v>497</v>
      </c>
      <c r="B50" s="77"/>
      <c r="C50" s="77">
        <v>477.66</v>
      </c>
      <c r="D50" s="77"/>
      <c r="E50" s="77"/>
      <c r="F50" s="77"/>
      <c r="G50" s="77"/>
      <c r="H50" s="77"/>
      <c r="I50" s="77"/>
      <c r="J50" s="77"/>
      <c r="K50" s="77"/>
      <c r="L50" s="77"/>
      <c r="M50" s="77"/>
      <c r="N50" s="332">
        <f>SUM(B50:M50)</f>
        <v>477.66</v>
      </c>
      <c r="O50" s="339">
        <f>N50/P50</f>
        <v>6.2459627329192559E-2</v>
      </c>
      <c r="P50" s="77">
        <f>+'budget entry'!D71+'budget entry'!D72+'budget entry'!D73</f>
        <v>7647.4999999999991</v>
      </c>
      <c r="Q50" s="77">
        <f>866+12177+746+7709</f>
        <v>21498</v>
      </c>
    </row>
    <row r="51" spans="1:18" s="195" customFormat="1" x14ac:dyDescent="0.3">
      <c r="A51" s="78" t="s">
        <v>2</v>
      </c>
      <c r="B51" s="77">
        <v>169.05</v>
      </c>
      <c r="C51" s="77">
        <f>420.71+187.02</f>
        <v>607.73</v>
      </c>
      <c r="D51" s="77"/>
      <c r="E51" s="77"/>
      <c r="F51" s="77"/>
      <c r="G51" s="77"/>
      <c r="H51" s="77"/>
      <c r="I51" s="77"/>
      <c r="J51" s="77"/>
      <c r="K51" s="77"/>
      <c r="L51" s="77"/>
      <c r="M51" s="77"/>
      <c r="N51" s="332">
        <f>SUM(B51:M51)</f>
        <v>776.78</v>
      </c>
      <c r="O51" s="339">
        <f>N51/P51</f>
        <v>6.3152845528455279E-2</v>
      </c>
      <c r="P51" s="77">
        <f>+'budget entry'!D74</f>
        <v>12300</v>
      </c>
      <c r="Q51" s="77">
        <v>5000</v>
      </c>
    </row>
    <row r="52" spans="1:18" s="195" customFormat="1" x14ac:dyDescent="0.3">
      <c r="A52" s="78" t="s">
        <v>726</v>
      </c>
      <c r="B52" s="77"/>
      <c r="C52" s="77"/>
      <c r="D52" s="77"/>
      <c r="E52" s="77"/>
      <c r="F52" s="77"/>
      <c r="G52" s="77"/>
      <c r="H52" s="77"/>
      <c r="I52" s="77"/>
      <c r="J52" s="77"/>
      <c r="K52" s="77"/>
      <c r="L52" s="77"/>
      <c r="M52" s="77"/>
      <c r="N52" s="332"/>
      <c r="O52" s="339"/>
      <c r="P52" s="77">
        <f>+'budget entry'!D75</f>
        <v>16516</v>
      </c>
      <c r="Q52" s="77">
        <v>20000</v>
      </c>
    </row>
    <row r="53" spans="1:18" s="195" customFormat="1" x14ac:dyDescent="0.3">
      <c r="A53" s="78" t="s">
        <v>38</v>
      </c>
      <c r="B53" s="81">
        <f>4001.6+9814.15</f>
        <v>13815.75</v>
      </c>
      <c r="C53" s="81"/>
      <c r="D53" s="81"/>
      <c r="E53" s="81"/>
      <c r="F53" s="81"/>
      <c r="G53" s="81"/>
      <c r="H53" s="81"/>
      <c r="I53" s="81"/>
      <c r="J53" s="81"/>
      <c r="K53" s="81"/>
      <c r="L53" s="81"/>
      <c r="M53" s="81"/>
      <c r="N53" s="334">
        <f>SUM(B53:M53)</f>
        <v>13815.75</v>
      </c>
      <c r="O53" s="339">
        <f>N53/P53</f>
        <v>0.92105000000000004</v>
      </c>
      <c r="P53" s="81">
        <f>+'budget entry'!D77</f>
        <v>15000</v>
      </c>
      <c r="Q53" s="81">
        <v>14463</v>
      </c>
    </row>
    <row r="54" spans="1:18" s="195" customFormat="1" x14ac:dyDescent="0.3">
      <c r="A54" s="60" t="s">
        <v>143</v>
      </c>
      <c r="B54" s="60">
        <f t="shared" ref="B54:N54" si="9">SUM(B49:B53)</f>
        <v>13984.8</v>
      </c>
      <c r="C54" s="60">
        <f>SUM(C49:C53)</f>
        <v>3271.39</v>
      </c>
      <c r="D54" s="60">
        <f>SUM(D49:D53)</f>
        <v>0</v>
      </c>
      <c r="E54" s="60">
        <f t="shared" si="9"/>
        <v>0</v>
      </c>
      <c r="F54" s="60">
        <f t="shared" si="9"/>
        <v>0</v>
      </c>
      <c r="G54" s="60">
        <f t="shared" si="9"/>
        <v>0</v>
      </c>
      <c r="H54" s="60">
        <f t="shared" si="9"/>
        <v>0</v>
      </c>
      <c r="I54" s="60">
        <f t="shared" si="9"/>
        <v>0</v>
      </c>
      <c r="J54" s="60">
        <f t="shared" si="9"/>
        <v>0</v>
      </c>
      <c r="K54" s="60">
        <f t="shared" si="9"/>
        <v>0</v>
      </c>
      <c r="L54" s="60">
        <f t="shared" si="9"/>
        <v>0</v>
      </c>
      <c r="M54" s="60">
        <f t="shared" si="9"/>
        <v>0</v>
      </c>
      <c r="N54" s="60">
        <f t="shared" si="9"/>
        <v>17256.189999999999</v>
      </c>
      <c r="O54" s="339">
        <f>N54/P54</f>
        <v>0.19957774089644761</v>
      </c>
      <c r="P54" s="60">
        <f>SUM(P49:P53)</f>
        <v>86463.5</v>
      </c>
      <c r="Q54" s="60">
        <f>SUM(Q49:Q53)</f>
        <v>120651</v>
      </c>
    </row>
    <row r="55" spans="1:18" s="195" customFormat="1" ht="6" customHeight="1" x14ac:dyDescent="0.3">
      <c r="A55" s="51"/>
      <c r="B55" s="51"/>
      <c r="C55" s="51"/>
      <c r="D55" s="51"/>
      <c r="E55" s="51"/>
      <c r="F55" s="51"/>
      <c r="G55" s="51"/>
      <c r="H55" s="51"/>
      <c r="I55" s="51"/>
      <c r="J55" s="51"/>
      <c r="K55" s="51"/>
      <c r="L55" s="51"/>
      <c r="M55" s="51"/>
      <c r="N55" s="51"/>
      <c r="O55" s="339"/>
      <c r="P55" s="51"/>
      <c r="Q55" s="51"/>
    </row>
    <row r="56" spans="1:18" s="195" customFormat="1" x14ac:dyDescent="0.3">
      <c r="A56" s="128" t="s">
        <v>218</v>
      </c>
      <c r="B56" s="51"/>
      <c r="C56" s="51"/>
      <c r="D56" s="51"/>
      <c r="E56" s="51"/>
      <c r="F56" s="51"/>
      <c r="G56" s="51"/>
      <c r="H56" s="51"/>
      <c r="I56" s="51"/>
      <c r="J56" s="51"/>
      <c r="K56" s="51"/>
      <c r="L56" s="51"/>
      <c r="M56" s="51"/>
      <c r="N56" s="51"/>
      <c r="O56" s="339"/>
      <c r="P56" s="51"/>
      <c r="Q56" s="51"/>
    </row>
    <row r="57" spans="1:18" s="195" customFormat="1" x14ac:dyDescent="0.3">
      <c r="A57" s="78" t="s">
        <v>1</v>
      </c>
      <c r="B57" s="51">
        <v>4637.03</v>
      </c>
      <c r="C57" s="51">
        <v>4637.03</v>
      </c>
      <c r="D57" s="51"/>
      <c r="E57" s="51"/>
      <c r="F57" s="51"/>
      <c r="G57" s="51"/>
      <c r="H57" s="51"/>
      <c r="I57" s="51"/>
      <c r="J57" s="51"/>
      <c r="K57" s="51"/>
      <c r="L57" s="51"/>
      <c r="M57" s="51"/>
      <c r="N57" s="332">
        <f t="shared" ref="N57:N66" si="10">SUM(B57:M57)</f>
        <v>9274.06</v>
      </c>
      <c r="O57" s="339">
        <f t="shared" ref="O57:O67" si="11">N57/P57</f>
        <v>0.13281709625954874</v>
      </c>
      <c r="P57" s="51">
        <f>'budget entry'!D82</f>
        <v>69825.8</v>
      </c>
      <c r="Q57" s="51">
        <v>65060</v>
      </c>
    </row>
    <row r="58" spans="1:18" s="195" customFormat="1" x14ac:dyDescent="0.3">
      <c r="A58" s="78" t="s">
        <v>121</v>
      </c>
      <c r="B58" s="51"/>
      <c r="C58" s="51"/>
      <c r="D58" s="51"/>
      <c r="E58" s="51"/>
      <c r="F58" s="51"/>
      <c r="G58" s="51"/>
      <c r="H58" s="51"/>
      <c r="I58" s="51"/>
      <c r="J58" s="51"/>
      <c r="K58" s="51"/>
      <c r="L58" s="51"/>
      <c r="M58" s="51"/>
      <c r="N58" s="332">
        <f t="shared" si="10"/>
        <v>0</v>
      </c>
      <c r="O58" s="339">
        <f t="shared" si="11"/>
        <v>0</v>
      </c>
      <c r="P58" s="51">
        <f>'budget entry'!D83</f>
        <v>2000</v>
      </c>
      <c r="Q58" s="51">
        <v>2000</v>
      </c>
    </row>
    <row r="59" spans="1:18" s="195" customFormat="1" x14ac:dyDescent="0.3">
      <c r="A59" s="78" t="s">
        <v>497</v>
      </c>
      <c r="B59" s="51">
        <v>1403.61</v>
      </c>
      <c r="C59" s="51">
        <v>1403.03</v>
      </c>
      <c r="D59" s="51"/>
      <c r="E59" s="51"/>
      <c r="F59" s="51"/>
      <c r="G59" s="51"/>
      <c r="H59" s="51"/>
      <c r="I59" s="51"/>
      <c r="J59" s="51"/>
      <c r="K59" s="51"/>
      <c r="L59" s="51"/>
      <c r="M59" s="51"/>
      <c r="N59" s="332">
        <f t="shared" si="10"/>
        <v>2806.64</v>
      </c>
      <c r="O59" s="339">
        <f t="shared" si="11"/>
        <v>0.12498209135823765</v>
      </c>
      <c r="P59" s="51">
        <f>+'budget entry'!D84+'budget entry'!D85+'budget entry'!D86</f>
        <v>22456.337299999999</v>
      </c>
      <c r="Q59" s="51">
        <f>980+13272+813+7710</f>
        <v>22775</v>
      </c>
    </row>
    <row r="60" spans="1:18" s="195" customFormat="1" x14ac:dyDescent="0.3">
      <c r="A60" s="78" t="s">
        <v>470</v>
      </c>
      <c r="B60" s="51">
        <v>498.63</v>
      </c>
      <c r="C60" s="51">
        <v>1890.43</v>
      </c>
      <c r="D60" s="51"/>
      <c r="E60" s="51"/>
      <c r="F60" s="51"/>
      <c r="G60" s="51"/>
      <c r="H60" s="51"/>
      <c r="I60" s="51"/>
      <c r="J60" s="51"/>
      <c r="K60" s="51"/>
      <c r="L60" s="51"/>
      <c r="M60" s="51"/>
      <c r="N60" s="332">
        <f t="shared" si="10"/>
        <v>2389.06</v>
      </c>
      <c r="O60" s="339">
        <f t="shared" si="11"/>
        <v>0.19908833333333334</v>
      </c>
      <c r="P60" s="51">
        <f>+'budget entry'!D87</f>
        <v>12000</v>
      </c>
      <c r="Q60" s="51">
        <v>12000</v>
      </c>
    </row>
    <row r="61" spans="1:18" s="195" customFormat="1" x14ac:dyDescent="0.3">
      <c r="A61" s="78" t="s">
        <v>471</v>
      </c>
      <c r="B61" s="51"/>
      <c r="C61" s="51">
        <v>21.97</v>
      </c>
      <c r="D61" s="51"/>
      <c r="E61" s="51"/>
      <c r="F61" s="51"/>
      <c r="G61" s="51"/>
      <c r="H61" s="51"/>
      <c r="I61" s="51"/>
      <c r="J61" s="51"/>
      <c r="K61" s="51"/>
      <c r="L61" s="51"/>
      <c r="M61" s="51"/>
      <c r="N61" s="332">
        <f t="shared" si="10"/>
        <v>21.97</v>
      </c>
      <c r="O61" s="339">
        <f t="shared" si="11"/>
        <v>7.3233333333333327E-3</v>
      </c>
      <c r="P61" s="51">
        <f>+'budget entry'!D88</f>
        <v>3000</v>
      </c>
      <c r="Q61" s="51">
        <v>3000</v>
      </c>
    </row>
    <row r="62" spans="1:18" s="195" customFormat="1" x14ac:dyDescent="0.3">
      <c r="A62" s="78" t="s">
        <v>414</v>
      </c>
      <c r="B62" s="51"/>
      <c r="C62" s="51"/>
      <c r="D62" s="51"/>
      <c r="E62" s="51"/>
      <c r="F62" s="51"/>
      <c r="G62" s="51"/>
      <c r="H62" s="51"/>
      <c r="I62" s="51"/>
      <c r="J62" s="51"/>
      <c r="K62" s="51"/>
      <c r="L62" s="51"/>
      <c r="M62" s="51"/>
      <c r="N62" s="332">
        <f t="shared" si="10"/>
        <v>0</v>
      </c>
      <c r="O62" s="339">
        <f t="shared" si="11"/>
        <v>0</v>
      </c>
      <c r="P62" s="51">
        <f>+'budget entry'!D89</f>
        <v>5000</v>
      </c>
      <c r="Q62" s="51">
        <v>5000</v>
      </c>
    </row>
    <row r="63" spans="1:18" s="195" customFormat="1" x14ac:dyDescent="0.3">
      <c r="A63" s="78" t="s">
        <v>42</v>
      </c>
      <c r="B63" s="51"/>
      <c r="C63" s="51">
        <v>3600</v>
      </c>
      <c r="D63" s="51"/>
      <c r="E63" s="51"/>
      <c r="F63" s="51"/>
      <c r="G63" s="51"/>
      <c r="H63" s="51"/>
      <c r="I63" s="51"/>
      <c r="J63" s="51"/>
      <c r="K63" s="51"/>
      <c r="L63" s="51"/>
      <c r="M63" s="51"/>
      <c r="N63" s="332">
        <f t="shared" si="10"/>
        <v>3600</v>
      </c>
      <c r="O63" s="339">
        <f t="shared" si="11"/>
        <v>0.45</v>
      </c>
      <c r="P63" s="51">
        <f>+'budget entry'!D90</f>
        <v>8000</v>
      </c>
      <c r="Q63" s="51">
        <v>8000</v>
      </c>
    </row>
    <row r="64" spans="1:18" s="195" customFormat="1" x14ac:dyDescent="0.3">
      <c r="A64" s="78" t="s">
        <v>472</v>
      </c>
      <c r="B64" s="51"/>
      <c r="C64" s="51"/>
      <c r="D64" s="51"/>
      <c r="E64" s="51"/>
      <c r="F64" s="51"/>
      <c r="G64" s="51"/>
      <c r="H64" s="51"/>
      <c r="I64" s="51"/>
      <c r="J64" s="51"/>
      <c r="K64" s="51"/>
      <c r="L64" s="51"/>
      <c r="M64" s="51"/>
      <c r="N64" s="332">
        <f t="shared" si="10"/>
        <v>0</v>
      </c>
      <c r="O64" s="339">
        <f t="shared" si="11"/>
        <v>0</v>
      </c>
      <c r="P64" s="51">
        <f>+'budget entry'!D91</f>
        <v>4800</v>
      </c>
      <c r="Q64" s="51">
        <v>4800</v>
      </c>
    </row>
    <row r="65" spans="1:18" s="195" customFormat="1" x14ac:dyDescent="0.3">
      <c r="A65" s="78" t="s">
        <v>475</v>
      </c>
      <c r="B65" s="51">
        <f>680+66.67</f>
        <v>746.67</v>
      </c>
      <c r="C65" s="51">
        <f>-680+43.06+57.11</f>
        <v>-579.83000000000004</v>
      </c>
      <c r="D65" s="51"/>
      <c r="E65" s="51"/>
      <c r="F65" s="51"/>
      <c r="G65" s="51"/>
      <c r="H65" s="51"/>
      <c r="I65" s="51"/>
      <c r="J65" s="51"/>
      <c r="K65" s="51"/>
      <c r="L65" s="51"/>
      <c r="M65" s="51"/>
      <c r="N65" s="332">
        <f t="shared" si="10"/>
        <v>166.83999999999992</v>
      </c>
      <c r="O65" s="339">
        <f t="shared" si="11"/>
        <v>1.6683999999999991E-2</v>
      </c>
      <c r="P65" s="51">
        <f>+'budget entry'!D92</f>
        <v>10000</v>
      </c>
      <c r="Q65" s="51">
        <v>10000</v>
      </c>
    </row>
    <row r="66" spans="1:18" s="195" customFormat="1" x14ac:dyDescent="0.3">
      <c r="A66" s="78" t="s">
        <v>566</v>
      </c>
      <c r="B66" s="63">
        <v>6784.65</v>
      </c>
      <c r="C66" s="63">
        <v>5702.38</v>
      </c>
      <c r="D66" s="63"/>
      <c r="E66" s="63"/>
      <c r="F66" s="63"/>
      <c r="G66" s="63"/>
      <c r="H66" s="63"/>
      <c r="I66" s="63"/>
      <c r="J66" s="63"/>
      <c r="K66" s="63"/>
      <c r="L66" s="63"/>
      <c r="M66" s="63"/>
      <c r="N66" s="334">
        <f t="shared" si="10"/>
        <v>12487.029999999999</v>
      </c>
      <c r="O66" s="339">
        <f t="shared" si="11"/>
        <v>9.3561035185518185E-2</v>
      </c>
      <c r="P66" s="63">
        <f>+'budget entry'!D93</f>
        <v>133464</v>
      </c>
      <c r="Q66" s="63">
        <v>121419</v>
      </c>
      <c r="R66"/>
    </row>
    <row r="67" spans="1:18" s="195" customFormat="1" x14ac:dyDescent="0.3">
      <c r="A67" s="60" t="s">
        <v>158</v>
      </c>
      <c r="B67" s="60">
        <f t="shared" ref="B67:N67" si="12">SUM(B57:B66)</f>
        <v>14070.59</v>
      </c>
      <c r="C67" s="60">
        <f>SUM(C57:C66)</f>
        <v>16675.009999999998</v>
      </c>
      <c r="D67" s="60">
        <f>SUM(D57:D66)</f>
        <v>0</v>
      </c>
      <c r="E67" s="60">
        <f t="shared" si="12"/>
        <v>0</v>
      </c>
      <c r="F67" s="60">
        <f t="shared" si="12"/>
        <v>0</v>
      </c>
      <c r="G67" s="60">
        <f t="shared" si="12"/>
        <v>0</v>
      </c>
      <c r="H67" s="60">
        <f t="shared" si="12"/>
        <v>0</v>
      </c>
      <c r="I67" s="60">
        <f t="shared" si="12"/>
        <v>0</v>
      </c>
      <c r="J67" s="60">
        <f t="shared" si="12"/>
        <v>0</v>
      </c>
      <c r="K67" s="60">
        <f t="shared" si="12"/>
        <v>0</v>
      </c>
      <c r="L67" s="60">
        <f t="shared" si="12"/>
        <v>0</v>
      </c>
      <c r="M67" s="60">
        <f t="shared" si="12"/>
        <v>0</v>
      </c>
      <c r="N67" s="60">
        <f t="shared" si="12"/>
        <v>30745.599999999995</v>
      </c>
      <c r="O67" s="339">
        <f t="shared" si="11"/>
        <v>0.11364272396137438</v>
      </c>
      <c r="P67" s="60">
        <f>SUM(P57:P66)</f>
        <v>270546.1373</v>
      </c>
      <c r="Q67" s="60">
        <f>SUM(Q57:Q66)</f>
        <v>254054</v>
      </c>
    </row>
    <row r="68" spans="1:18" s="195" customFormat="1" ht="4.95" customHeight="1" x14ac:dyDescent="0.3">
      <c r="A68" s="51"/>
      <c r="B68" s="51"/>
      <c r="C68" s="51"/>
      <c r="D68" s="51"/>
      <c r="E68" s="51"/>
      <c r="F68" s="51"/>
      <c r="G68" s="51"/>
      <c r="H68" s="51"/>
      <c r="I68" s="51"/>
      <c r="J68" s="51"/>
      <c r="K68" s="51"/>
      <c r="L68" s="51"/>
      <c r="M68" s="51"/>
      <c r="N68" s="51"/>
      <c r="O68" s="339"/>
      <c r="P68" s="51"/>
      <c r="Q68" s="51"/>
    </row>
    <row r="69" spans="1:18" s="195" customFormat="1" x14ac:dyDescent="0.3">
      <c r="A69" s="128" t="s">
        <v>20</v>
      </c>
      <c r="B69" s="51"/>
      <c r="C69" s="51"/>
      <c r="D69" s="51"/>
      <c r="E69" s="51"/>
      <c r="F69" s="51"/>
      <c r="G69" s="51"/>
      <c r="H69" s="51"/>
      <c r="I69" s="51"/>
      <c r="J69" s="51"/>
      <c r="K69" s="51"/>
      <c r="L69" s="51"/>
      <c r="M69" s="51"/>
      <c r="N69" s="51"/>
      <c r="O69" s="339"/>
      <c r="P69" s="51"/>
      <c r="Q69" s="51"/>
    </row>
    <row r="70" spans="1:18" s="195" customFormat="1" x14ac:dyDescent="0.3">
      <c r="A70" s="78" t="s">
        <v>1</v>
      </c>
      <c r="B70" s="78">
        <v>15228.25</v>
      </c>
      <c r="C70" s="78">
        <v>15342.84</v>
      </c>
      <c r="D70" s="78"/>
      <c r="E70" s="78"/>
      <c r="F70" s="78"/>
      <c r="G70" s="78"/>
      <c r="H70" s="78"/>
      <c r="I70" s="78"/>
      <c r="J70" s="78"/>
      <c r="K70" s="78"/>
      <c r="L70" s="78"/>
      <c r="M70" s="78"/>
      <c r="N70" s="332">
        <f>SUM(B70:M70)</f>
        <v>30571.09</v>
      </c>
      <c r="O70" s="339">
        <f t="shared" ref="O70:O75" si="13">N70/P70</f>
        <v>0.16604435295523426</v>
      </c>
      <c r="P70" s="78">
        <f>+'budget entry'!D97</f>
        <v>184114</v>
      </c>
      <c r="Q70" s="78">
        <v>184114</v>
      </c>
    </row>
    <row r="71" spans="1:18" s="195" customFormat="1" ht="13.95" customHeight="1" x14ac:dyDescent="0.3">
      <c r="A71" s="78" t="s">
        <v>673</v>
      </c>
      <c r="B71" s="78"/>
      <c r="C71" s="78"/>
      <c r="D71" s="78"/>
      <c r="E71" s="78"/>
      <c r="F71" s="78"/>
      <c r="G71" s="78"/>
      <c r="H71" s="78"/>
      <c r="I71" s="78"/>
      <c r="J71" s="78"/>
      <c r="K71" s="78"/>
      <c r="L71" s="78"/>
      <c r="M71" s="78"/>
      <c r="N71" s="332">
        <f>SUM(B71:M71)</f>
        <v>0</v>
      </c>
      <c r="O71" s="339">
        <f t="shared" si="13"/>
        <v>0</v>
      </c>
      <c r="P71" s="78">
        <f>+'budget entry'!D98</f>
        <v>25000</v>
      </c>
      <c r="Q71" s="78">
        <v>25000</v>
      </c>
    </row>
    <row r="72" spans="1:18" s="195" customFormat="1" x14ac:dyDescent="0.3">
      <c r="A72" s="78" t="s">
        <v>497</v>
      </c>
      <c r="B72" s="78">
        <v>4896.46</v>
      </c>
      <c r="C72" s="78">
        <v>4921.5</v>
      </c>
      <c r="D72" s="78"/>
      <c r="E72" s="78"/>
      <c r="F72" s="78"/>
      <c r="G72" s="78"/>
      <c r="H72" s="78"/>
      <c r="I72" s="78"/>
      <c r="J72" s="78"/>
      <c r="K72" s="78"/>
      <c r="L72" s="78"/>
      <c r="M72" s="78"/>
      <c r="N72" s="332">
        <f>SUM(B72:M72)</f>
        <v>9817.9599999999991</v>
      </c>
      <c r="O72" s="339">
        <f t="shared" si="13"/>
        <v>0.12492408680444957</v>
      </c>
      <c r="P72" s="78">
        <f>+'budget entry'!D99+'budget entry'!D100+'budget entry'!D101</f>
        <v>78591.409</v>
      </c>
      <c r="Q72" s="78">
        <f>3032+37559+2301+38544</f>
        <v>81436</v>
      </c>
    </row>
    <row r="73" spans="1:18" s="195" customFormat="1" x14ac:dyDescent="0.3">
      <c r="A73" s="79" t="s">
        <v>43</v>
      </c>
      <c r="B73" s="77"/>
      <c r="C73" s="77">
        <f>52.16+1135.2</f>
        <v>1187.3600000000001</v>
      </c>
      <c r="D73" s="77"/>
      <c r="E73" s="77"/>
      <c r="F73" s="77"/>
      <c r="G73" s="77"/>
      <c r="H73" s="77"/>
      <c r="I73" s="77"/>
      <c r="J73" s="77"/>
      <c r="K73" s="77"/>
      <c r="L73" s="77"/>
      <c r="M73" s="77"/>
      <c r="N73" s="332">
        <f>SUM(B73:M73)</f>
        <v>1187.3600000000001</v>
      </c>
      <c r="O73" s="339">
        <f t="shared" si="13"/>
        <v>0.17990303030303031</v>
      </c>
      <c r="P73" s="77">
        <f>+'budget entry'!D102</f>
        <v>6600</v>
      </c>
      <c r="Q73" s="77">
        <v>6600</v>
      </c>
    </row>
    <row r="74" spans="1:18" s="195" customFormat="1" x14ac:dyDescent="0.3">
      <c r="A74" s="79" t="s">
        <v>45</v>
      </c>
      <c r="B74" s="81"/>
      <c r="C74" s="81">
        <v>48.34</v>
      </c>
      <c r="D74" s="81"/>
      <c r="E74" s="81"/>
      <c r="F74" s="81"/>
      <c r="G74" s="81"/>
      <c r="H74" s="81"/>
      <c r="I74" s="81"/>
      <c r="J74" s="81"/>
      <c r="K74" s="81"/>
      <c r="L74" s="81"/>
      <c r="M74" s="81"/>
      <c r="N74" s="334">
        <f>SUM(B74:M74)</f>
        <v>48.34</v>
      </c>
      <c r="O74" s="339">
        <f t="shared" si="13"/>
        <v>9.6680000000000002E-2</v>
      </c>
      <c r="P74" s="81">
        <f>+'budget entry'!D104</f>
        <v>500</v>
      </c>
      <c r="Q74" s="81">
        <v>500</v>
      </c>
    </row>
    <row r="75" spans="1:18" s="195" customFormat="1" x14ac:dyDescent="0.3">
      <c r="A75" s="60" t="s">
        <v>144</v>
      </c>
      <c r="B75" s="60">
        <f t="shared" ref="B75:N75" si="14">SUM(B70:B74)</f>
        <v>20124.71</v>
      </c>
      <c r="C75" s="60">
        <f>SUM(C70:C74)</f>
        <v>21500.04</v>
      </c>
      <c r="D75" s="60">
        <f>SUM(D70:D74)</f>
        <v>0</v>
      </c>
      <c r="E75" s="60">
        <f t="shared" si="14"/>
        <v>0</v>
      </c>
      <c r="F75" s="60">
        <f t="shared" si="14"/>
        <v>0</v>
      </c>
      <c r="G75" s="60">
        <f t="shared" si="14"/>
        <v>0</v>
      </c>
      <c r="H75" s="60">
        <f t="shared" si="14"/>
        <v>0</v>
      </c>
      <c r="I75" s="60">
        <f t="shared" si="14"/>
        <v>0</v>
      </c>
      <c r="J75" s="60">
        <f t="shared" si="14"/>
        <v>0</v>
      </c>
      <c r="K75" s="60">
        <f t="shared" si="14"/>
        <v>0</v>
      </c>
      <c r="L75" s="60">
        <f t="shared" si="14"/>
        <v>0</v>
      </c>
      <c r="M75" s="60">
        <f t="shared" si="14"/>
        <v>0</v>
      </c>
      <c r="N75" s="60">
        <f t="shared" si="14"/>
        <v>41624.75</v>
      </c>
      <c r="O75" s="339">
        <f t="shared" si="13"/>
        <v>0.14119398331663582</v>
      </c>
      <c r="P75" s="60">
        <f>SUM(P70:P74)</f>
        <v>294805.40899999999</v>
      </c>
      <c r="Q75" s="60">
        <f>SUM(Q70:Q74)</f>
        <v>297650</v>
      </c>
    </row>
    <row r="76" spans="1:18" s="195" customFormat="1" ht="6" customHeight="1" x14ac:dyDescent="0.3">
      <c r="A76" s="51"/>
      <c r="B76" s="51"/>
      <c r="C76" s="51"/>
      <c r="D76" s="51"/>
      <c r="E76" s="51"/>
      <c r="F76" s="51"/>
      <c r="G76" s="51"/>
      <c r="H76" s="51"/>
      <c r="I76" s="51"/>
      <c r="J76" s="51"/>
      <c r="K76" s="51"/>
      <c r="L76" s="51"/>
      <c r="M76" s="51"/>
      <c r="N76" s="51"/>
      <c r="O76" s="339"/>
      <c r="P76" s="51"/>
      <c r="Q76" s="51"/>
    </row>
    <row r="77" spans="1:18" s="195" customFormat="1" x14ac:dyDescent="0.3">
      <c r="A77" s="128" t="s">
        <v>131</v>
      </c>
      <c r="B77" s="51"/>
      <c r="C77" s="51"/>
      <c r="D77" s="51"/>
      <c r="E77" s="51"/>
      <c r="F77" s="51"/>
      <c r="G77" s="51"/>
      <c r="H77" s="51"/>
      <c r="I77" s="51"/>
      <c r="J77" s="51"/>
      <c r="K77" s="51"/>
      <c r="L77" s="51"/>
      <c r="M77" s="51"/>
      <c r="N77" s="51"/>
      <c r="O77" s="339"/>
      <c r="P77" s="51"/>
      <c r="Q77" s="51"/>
    </row>
    <row r="78" spans="1:18" s="195" customFormat="1" x14ac:dyDescent="0.3">
      <c r="A78" s="78" t="s">
        <v>1</v>
      </c>
      <c r="B78" s="51">
        <v>4076.38</v>
      </c>
      <c r="C78" s="51">
        <v>4076.38</v>
      </c>
      <c r="D78" s="51"/>
      <c r="E78" s="51"/>
      <c r="F78" s="51"/>
      <c r="G78" s="51"/>
      <c r="H78" s="51"/>
      <c r="I78" s="51"/>
      <c r="J78" s="51"/>
      <c r="K78" s="51"/>
      <c r="L78" s="51"/>
      <c r="M78" s="51"/>
      <c r="N78" s="332">
        <f t="shared" ref="N78:N87" si="15">SUM(B78:M78)</f>
        <v>8152.76</v>
      </c>
      <c r="O78" s="339">
        <f t="shared" ref="O78:O88" si="16">N78/P78</f>
        <v>0.16665494685200327</v>
      </c>
      <c r="P78" s="51">
        <f>'budget entry'!D109</f>
        <v>48920</v>
      </c>
      <c r="Q78" s="51">
        <v>48920</v>
      </c>
    </row>
    <row r="79" spans="1:18" s="195" customFormat="1" x14ac:dyDescent="0.3">
      <c r="A79" s="78" t="s">
        <v>213</v>
      </c>
      <c r="B79" s="51"/>
      <c r="C79" s="51"/>
      <c r="D79" s="51"/>
      <c r="E79" s="51"/>
      <c r="F79" s="51"/>
      <c r="G79" s="51"/>
      <c r="H79" s="51"/>
      <c r="I79" s="51"/>
      <c r="J79" s="51"/>
      <c r="K79" s="51"/>
      <c r="L79" s="51"/>
      <c r="M79" s="51"/>
      <c r="N79" s="332">
        <f t="shared" si="15"/>
        <v>0</v>
      </c>
      <c r="O79" s="339">
        <f t="shared" si="16"/>
        <v>0</v>
      </c>
      <c r="P79" s="51">
        <f>+'budget entry'!D110</f>
        <v>5000</v>
      </c>
      <c r="Q79" s="51">
        <v>5000</v>
      </c>
    </row>
    <row r="80" spans="1:18" s="195" customFormat="1" x14ac:dyDescent="0.3">
      <c r="A80" s="78" t="s">
        <v>497</v>
      </c>
      <c r="B80" s="51">
        <v>1313.57</v>
      </c>
      <c r="C80" s="51">
        <v>1313.57</v>
      </c>
      <c r="D80" s="51"/>
      <c r="E80" s="51"/>
      <c r="F80" s="51"/>
      <c r="G80" s="51"/>
      <c r="H80" s="51"/>
      <c r="I80" s="51"/>
      <c r="J80" s="51"/>
      <c r="K80" s="51"/>
      <c r="L80" s="51"/>
      <c r="M80" s="51"/>
      <c r="N80" s="332">
        <f t="shared" si="15"/>
        <v>2627.14</v>
      </c>
      <c r="O80" s="339">
        <f t="shared" si="16"/>
        <v>0.14669384108548775</v>
      </c>
      <c r="P80" s="51">
        <f>+'budget entry'!D111+'budget entry'!D112+'budget entry'!D113</f>
        <v>17909</v>
      </c>
      <c r="Q80" s="51">
        <f>709+10000+612+6200</f>
        <v>17521</v>
      </c>
    </row>
    <row r="81" spans="1:18" s="195" customFormat="1" x14ac:dyDescent="0.3">
      <c r="A81" s="78" t="s">
        <v>477</v>
      </c>
      <c r="B81" s="51"/>
      <c r="C81" s="51"/>
      <c r="D81" s="51"/>
      <c r="E81" s="51"/>
      <c r="F81" s="51"/>
      <c r="G81" s="51"/>
      <c r="H81" s="51"/>
      <c r="I81" s="51"/>
      <c r="J81" s="51"/>
      <c r="K81" s="51"/>
      <c r="L81" s="51"/>
      <c r="M81" s="51"/>
      <c r="N81" s="332">
        <f t="shared" si="15"/>
        <v>0</v>
      </c>
      <c r="O81" s="339">
        <v>0</v>
      </c>
      <c r="P81" s="51">
        <v>0</v>
      </c>
      <c r="Q81" s="51">
        <v>720</v>
      </c>
    </row>
    <row r="82" spans="1:18" s="195" customFormat="1" x14ac:dyDescent="0.3">
      <c r="A82" s="78" t="s">
        <v>0</v>
      </c>
      <c r="B82" s="51">
        <v>126.08</v>
      </c>
      <c r="C82" s="51"/>
      <c r="D82" s="51"/>
      <c r="E82" s="51"/>
      <c r="F82" s="51"/>
      <c r="G82" s="51"/>
      <c r="H82" s="51"/>
      <c r="I82" s="51"/>
      <c r="J82" s="51"/>
      <c r="K82" s="51"/>
      <c r="L82" s="51"/>
      <c r="M82" s="51"/>
      <c r="N82" s="332">
        <f t="shared" si="15"/>
        <v>126.08</v>
      </c>
      <c r="O82" s="339">
        <f t="shared" si="16"/>
        <v>6.3039999999999999E-2</v>
      </c>
      <c r="P82" s="51">
        <f>+'budget entry'!D114</f>
        <v>2000</v>
      </c>
      <c r="Q82" s="51">
        <v>500</v>
      </c>
    </row>
    <row r="83" spans="1:18" s="195" customFormat="1" x14ac:dyDescent="0.3">
      <c r="A83" s="78" t="s">
        <v>57</v>
      </c>
      <c r="B83" s="51"/>
      <c r="C83" s="51"/>
      <c r="D83" s="51"/>
      <c r="E83" s="51"/>
      <c r="F83" s="51"/>
      <c r="G83" s="51"/>
      <c r="H83" s="51"/>
      <c r="I83" s="51"/>
      <c r="J83" s="51"/>
      <c r="K83" s="51"/>
      <c r="L83" s="51"/>
      <c r="M83" s="51"/>
      <c r="N83" s="332">
        <f t="shared" si="15"/>
        <v>0</v>
      </c>
      <c r="O83" s="339">
        <f t="shared" si="16"/>
        <v>0</v>
      </c>
      <c r="P83" s="51">
        <f>+'budget entry'!D115</f>
        <v>2000</v>
      </c>
      <c r="Q83" s="51">
        <v>1000</v>
      </c>
    </row>
    <row r="84" spans="1:18" s="195" customFormat="1" x14ac:dyDescent="0.3">
      <c r="A84" s="78" t="s">
        <v>132</v>
      </c>
      <c r="B84" s="51"/>
      <c r="C84" s="51"/>
      <c r="D84" s="51"/>
      <c r="E84" s="51"/>
      <c r="F84" s="51"/>
      <c r="G84" s="51"/>
      <c r="H84" s="51"/>
      <c r="I84" s="51"/>
      <c r="J84" s="51"/>
      <c r="K84" s="51"/>
      <c r="L84" s="51"/>
      <c r="M84" s="51"/>
      <c r="N84" s="332">
        <f t="shared" si="15"/>
        <v>0</v>
      </c>
      <c r="O84" s="339">
        <f t="shared" si="16"/>
        <v>0</v>
      </c>
      <c r="P84" s="51">
        <f>+'budget entry'!D116</f>
        <v>200</v>
      </c>
      <c r="Q84" s="51">
        <v>200</v>
      </c>
    </row>
    <row r="85" spans="1:18" s="195" customFormat="1" x14ac:dyDescent="0.3">
      <c r="A85" s="78" t="s">
        <v>7</v>
      </c>
      <c r="B85" s="51">
        <v>174.75</v>
      </c>
      <c r="C85" s="51">
        <v>63.99</v>
      </c>
      <c r="D85" s="51"/>
      <c r="E85" s="51"/>
      <c r="F85" s="51"/>
      <c r="G85" s="51"/>
      <c r="H85" s="51"/>
      <c r="I85" s="51"/>
      <c r="J85" s="51"/>
      <c r="K85" s="51"/>
      <c r="L85" s="51"/>
      <c r="M85" s="51"/>
      <c r="N85" s="332">
        <f t="shared" si="15"/>
        <v>238.74</v>
      </c>
      <c r="O85" s="339">
        <f t="shared" si="16"/>
        <v>9.9475000000000008E-2</v>
      </c>
      <c r="P85" s="51">
        <f>+'budget entry'!D117</f>
        <v>2400</v>
      </c>
      <c r="Q85" s="51">
        <v>2400</v>
      </c>
    </row>
    <row r="86" spans="1:18" s="195" customFormat="1" x14ac:dyDescent="0.3">
      <c r="A86" s="78" t="s">
        <v>574</v>
      </c>
      <c r="B86" s="51">
        <v>113.34</v>
      </c>
      <c r="C86" s="51"/>
      <c r="D86" s="51"/>
      <c r="E86" s="51"/>
      <c r="F86" s="51"/>
      <c r="G86" s="51"/>
      <c r="H86" s="51"/>
      <c r="I86" s="51"/>
      <c r="J86" s="51"/>
      <c r="K86" s="51"/>
      <c r="L86" s="51"/>
      <c r="M86" s="51"/>
      <c r="N86" s="332">
        <f t="shared" si="15"/>
        <v>113.34</v>
      </c>
      <c r="O86" s="339">
        <f t="shared" si="16"/>
        <v>2.2668000000000001E-2</v>
      </c>
      <c r="P86" s="51">
        <f>+'budget entry'!D118</f>
        <v>5000</v>
      </c>
      <c r="Q86" s="51">
        <v>500</v>
      </c>
    </row>
    <row r="87" spans="1:18" s="195" customFormat="1" x14ac:dyDescent="0.3">
      <c r="A87" s="78" t="s">
        <v>133</v>
      </c>
      <c r="B87" s="63">
        <v>375.81</v>
      </c>
      <c r="C87" s="63">
        <v>196.09</v>
      </c>
      <c r="D87" s="63"/>
      <c r="E87" s="63"/>
      <c r="F87" s="63"/>
      <c r="G87" s="63"/>
      <c r="H87" s="63"/>
      <c r="I87" s="63"/>
      <c r="J87" s="63"/>
      <c r="K87" s="63"/>
      <c r="L87" s="63"/>
      <c r="M87" s="63"/>
      <c r="N87" s="334">
        <f t="shared" si="15"/>
        <v>571.9</v>
      </c>
      <c r="O87" s="339">
        <f t="shared" si="16"/>
        <v>0.16339999999999999</v>
      </c>
      <c r="P87" s="63">
        <f>+'budget entry'!D119</f>
        <v>3500</v>
      </c>
      <c r="Q87" s="63">
        <v>3300</v>
      </c>
    </row>
    <row r="88" spans="1:18" s="195" customFormat="1" x14ac:dyDescent="0.3">
      <c r="A88" s="2" t="s">
        <v>136</v>
      </c>
      <c r="B88" s="2">
        <f>SUM(B78:B87)</f>
        <v>6179.93</v>
      </c>
      <c r="C88" s="2">
        <f>SUM(C78:C87)</f>
        <v>5650.03</v>
      </c>
      <c r="D88" s="2">
        <f>SUM(D78:D87)</f>
        <v>0</v>
      </c>
      <c r="E88" s="2">
        <f>SUM(E78:E87)</f>
        <v>0</v>
      </c>
      <c r="F88" s="2">
        <f t="shared" ref="F88:M88" si="17">SUM(F78:F87)</f>
        <v>0</v>
      </c>
      <c r="G88" s="2">
        <f t="shared" si="17"/>
        <v>0</v>
      </c>
      <c r="H88" s="2">
        <f t="shared" si="17"/>
        <v>0</v>
      </c>
      <c r="I88" s="2">
        <f t="shared" si="17"/>
        <v>0</v>
      </c>
      <c r="J88" s="2">
        <f t="shared" si="17"/>
        <v>0</v>
      </c>
      <c r="K88" s="2">
        <f t="shared" si="17"/>
        <v>0</v>
      </c>
      <c r="L88" s="2">
        <f t="shared" si="17"/>
        <v>0</v>
      </c>
      <c r="M88" s="2">
        <f t="shared" si="17"/>
        <v>0</v>
      </c>
      <c r="N88" s="2">
        <f>SUM(N78:N87)</f>
        <v>11829.96</v>
      </c>
      <c r="O88" s="339">
        <f t="shared" si="16"/>
        <v>0.13608761172911227</v>
      </c>
      <c r="P88" s="2">
        <f>SUM(P78:P87)</f>
        <v>86929</v>
      </c>
      <c r="Q88" s="2">
        <f>SUM(Q78:Q87)</f>
        <v>80061</v>
      </c>
    </row>
    <row r="89" spans="1:18" s="195" customFormat="1" ht="6.6" customHeight="1" x14ac:dyDescent="0.3">
      <c r="A89" s="51"/>
      <c r="B89" s="188"/>
      <c r="C89" s="188"/>
      <c r="D89" s="188"/>
      <c r="E89" s="188"/>
      <c r="F89" s="188"/>
      <c r="G89" s="188"/>
      <c r="H89" s="188"/>
      <c r="I89" s="188"/>
      <c r="J89" s="188"/>
      <c r="K89" s="188"/>
      <c r="L89" s="188"/>
      <c r="M89" s="188"/>
      <c r="N89" s="188"/>
      <c r="O89" s="339"/>
      <c r="P89" s="188"/>
      <c r="Q89" s="188"/>
    </row>
    <row r="90" spans="1:18" s="195" customFormat="1" ht="13.95" customHeight="1" x14ac:dyDescent="0.3">
      <c r="A90" s="128" t="s">
        <v>134</v>
      </c>
      <c r="B90" s="51"/>
      <c r="C90" s="51"/>
      <c r="D90" s="51"/>
      <c r="E90" s="51"/>
      <c r="F90" s="51"/>
      <c r="G90" s="51"/>
      <c r="H90" s="51"/>
      <c r="I90" s="51"/>
      <c r="J90" s="51"/>
      <c r="K90" s="51"/>
      <c r="L90" s="51"/>
      <c r="M90" s="51"/>
      <c r="N90" s="51"/>
      <c r="O90" s="339"/>
      <c r="P90" s="51"/>
      <c r="Q90" s="51"/>
    </row>
    <row r="91" spans="1:18" s="195" customFormat="1" x14ac:dyDescent="0.3">
      <c r="A91" s="78" t="s">
        <v>1</v>
      </c>
      <c r="B91" s="51">
        <v>3900.03</v>
      </c>
      <c r="C91" s="51">
        <v>1952.31</v>
      </c>
      <c r="D91" s="51"/>
      <c r="E91" s="51"/>
      <c r="F91" s="51"/>
      <c r="G91" s="51"/>
      <c r="H91" s="51"/>
      <c r="I91" s="51"/>
      <c r="J91" s="51"/>
      <c r="K91" s="51"/>
      <c r="L91" s="51"/>
      <c r="M91" s="51"/>
      <c r="N91" s="332">
        <f t="shared" ref="N91:N100" si="18">SUM(B91:M91)</f>
        <v>5852.34</v>
      </c>
      <c r="O91" s="339">
        <f t="shared" ref="O91:O101" si="19">N91/P91</f>
        <v>0.13096585060197824</v>
      </c>
      <c r="P91" s="51">
        <f>+'budget entry'!D123</f>
        <v>44686</v>
      </c>
      <c r="Q91" s="51">
        <v>30168</v>
      </c>
    </row>
    <row r="92" spans="1:18" s="195" customFormat="1" x14ac:dyDescent="0.3">
      <c r="A92" s="78" t="s">
        <v>497</v>
      </c>
      <c r="B92" s="51">
        <v>961.55</v>
      </c>
      <c r="C92" s="51">
        <v>654.65</v>
      </c>
      <c r="D92" s="51"/>
      <c r="E92" s="51"/>
      <c r="F92" s="51"/>
      <c r="G92" s="51"/>
      <c r="H92" s="51"/>
      <c r="I92" s="51"/>
      <c r="J92" s="51"/>
      <c r="K92" s="51"/>
      <c r="L92" s="51"/>
      <c r="M92" s="51"/>
      <c r="N92" s="332">
        <f t="shared" si="18"/>
        <v>1616.1999999999998</v>
      </c>
      <c r="O92" s="339">
        <f t="shared" si="19"/>
        <v>7.8594075411117473E-2</v>
      </c>
      <c r="P92" s="51">
        <f>+'budget entry'!D124+'budget entry'!D125+'budget entry'!D126</f>
        <v>20563.891</v>
      </c>
      <c r="Q92" s="51">
        <f>437+6154+377+7800</f>
        <v>14768</v>
      </c>
    </row>
    <row r="93" spans="1:18" s="195" customFormat="1" x14ac:dyDescent="0.3">
      <c r="A93" s="78" t="s">
        <v>213</v>
      </c>
      <c r="B93" s="51">
        <v>2675.32</v>
      </c>
      <c r="C93" s="51"/>
      <c r="D93" s="51"/>
      <c r="E93" s="51"/>
      <c r="F93" s="51"/>
      <c r="G93" s="51"/>
      <c r="H93" s="51"/>
      <c r="I93" s="51"/>
      <c r="J93" s="51"/>
      <c r="K93" s="51"/>
      <c r="L93" s="51"/>
      <c r="M93" s="51"/>
      <c r="N93" s="332">
        <f t="shared" si="18"/>
        <v>2675.32</v>
      </c>
      <c r="O93" s="339">
        <f t="shared" si="19"/>
        <v>3.6057469405358783E-2</v>
      </c>
      <c r="P93" s="51">
        <f>+'budget entry'!D127</f>
        <v>74196</v>
      </c>
      <c r="Q93" s="51">
        <v>74196</v>
      </c>
      <c r="R93" s="197" t="s">
        <v>738</v>
      </c>
    </row>
    <row r="94" spans="1:18" s="195" customFormat="1" x14ac:dyDescent="0.3">
      <c r="A94" s="79" t="s">
        <v>10</v>
      </c>
      <c r="B94" s="51">
        <v>143.55000000000001</v>
      </c>
      <c r="C94" s="51"/>
      <c r="D94" s="51"/>
      <c r="E94" s="51"/>
      <c r="F94" s="51"/>
      <c r="G94" s="51"/>
      <c r="H94" s="51"/>
      <c r="I94" s="51"/>
      <c r="J94" s="51"/>
      <c r="K94" s="51"/>
      <c r="L94" s="51"/>
      <c r="M94" s="51"/>
      <c r="N94" s="332">
        <f t="shared" si="18"/>
        <v>143.55000000000001</v>
      </c>
      <c r="O94" s="339">
        <f t="shared" si="19"/>
        <v>4.7850000000000004E-2</v>
      </c>
      <c r="P94" s="51">
        <f>+'budget entry'!D128</f>
        <v>3000</v>
      </c>
      <c r="Q94" s="51">
        <v>3000</v>
      </c>
    </row>
    <row r="95" spans="1:18" s="195" customFormat="1" x14ac:dyDescent="0.3">
      <c r="A95" s="78" t="s">
        <v>8</v>
      </c>
      <c r="B95" s="51">
        <v>114</v>
      </c>
      <c r="C95" s="51">
        <v>114</v>
      </c>
      <c r="D95" s="51"/>
      <c r="E95" s="51"/>
      <c r="F95" s="51"/>
      <c r="G95" s="51"/>
      <c r="H95" s="51"/>
      <c r="I95" s="51"/>
      <c r="J95" s="51"/>
      <c r="K95" s="51"/>
      <c r="L95" s="51"/>
      <c r="M95" s="51"/>
      <c r="N95" s="332">
        <f t="shared" si="18"/>
        <v>228</v>
      </c>
      <c r="O95" s="339">
        <f t="shared" si="19"/>
        <v>6.1621621621621624E-2</v>
      </c>
      <c r="P95" s="51">
        <f>+'budget entry'!D129</f>
        <v>3700</v>
      </c>
      <c r="Q95" s="51">
        <v>3700</v>
      </c>
    </row>
    <row r="96" spans="1:18" s="195" customFormat="1" x14ac:dyDescent="0.3">
      <c r="A96" s="78" t="s">
        <v>46</v>
      </c>
      <c r="B96" s="51">
        <v>1500</v>
      </c>
      <c r="C96" s="51">
        <v>6003.11</v>
      </c>
      <c r="D96" s="51"/>
      <c r="E96" s="51"/>
      <c r="F96" s="51"/>
      <c r="G96" s="51"/>
      <c r="H96" s="51"/>
      <c r="I96" s="51"/>
      <c r="J96" s="51"/>
      <c r="K96" s="51"/>
      <c r="L96" s="51"/>
      <c r="M96" s="51"/>
      <c r="N96" s="332">
        <f t="shared" si="18"/>
        <v>7503.11</v>
      </c>
      <c r="O96" s="339">
        <f t="shared" si="19"/>
        <v>0.30012440000000001</v>
      </c>
      <c r="P96" s="51">
        <f>+'budget entry'!D130</f>
        <v>25000</v>
      </c>
      <c r="Q96" s="51">
        <v>25000</v>
      </c>
      <c r="R96" s="197"/>
    </row>
    <row r="97" spans="1:18" s="195" customFormat="1" x14ac:dyDescent="0.3">
      <c r="A97" s="78" t="s">
        <v>66</v>
      </c>
      <c r="B97" s="51">
        <v>1198.03</v>
      </c>
      <c r="C97" s="51">
        <v>1281.4000000000001</v>
      </c>
      <c r="D97" s="51"/>
      <c r="E97" s="51"/>
      <c r="F97" s="51"/>
      <c r="G97" s="51"/>
      <c r="H97" s="51"/>
      <c r="I97" s="51"/>
      <c r="J97" s="51"/>
      <c r="K97" s="51"/>
      <c r="L97" s="51"/>
      <c r="M97" s="51"/>
      <c r="N97" s="332">
        <f t="shared" si="18"/>
        <v>2479.4300000000003</v>
      </c>
      <c r="O97" s="339">
        <f t="shared" si="19"/>
        <v>0.12397150000000001</v>
      </c>
      <c r="P97" s="51">
        <f>'budget entry'!D131</f>
        <v>20000</v>
      </c>
      <c r="Q97" s="51">
        <v>22000</v>
      </c>
      <c r="R97" s="399"/>
    </row>
    <row r="98" spans="1:18" s="195" customFormat="1" x14ac:dyDescent="0.3">
      <c r="A98" s="78" t="s">
        <v>669</v>
      </c>
      <c r="B98" s="51"/>
      <c r="C98" s="51">
        <v>1134.56</v>
      </c>
      <c r="D98" s="51"/>
      <c r="E98" s="51"/>
      <c r="F98" s="51"/>
      <c r="G98" s="51"/>
      <c r="H98" s="51"/>
      <c r="I98" s="51"/>
      <c r="J98" s="51"/>
      <c r="K98" s="51"/>
      <c r="L98" s="51"/>
      <c r="M98" s="51"/>
      <c r="N98" s="332">
        <f t="shared" si="18"/>
        <v>1134.56</v>
      </c>
      <c r="O98" s="339"/>
      <c r="P98" s="51">
        <f>+'budget entry'!D132</f>
        <v>22025</v>
      </c>
      <c r="Q98" s="51"/>
      <c r="R98" s="399"/>
    </row>
    <row r="99" spans="1:18" s="195" customFormat="1" x14ac:dyDescent="0.3">
      <c r="A99" s="78" t="s">
        <v>65</v>
      </c>
      <c r="B99" s="51"/>
      <c r="C99" s="51"/>
      <c r="D99" s="51"/>
      <c r="E99" s="51"/>
      <c r="F99" s="51"/>
      <c r="G99" s="51"/>
      <c r="H99" s="51"/>
      <c r="I99" s="51"/>
      <c r="J99" s="51"/>
      <c r="K99" s="51"/>
      <c r="L99" s="51"/>
      <c r="M99" s="51"/>
      <c r="N99" s="332">
        <f t="shared" si="18"/>
        <v>0</v>
      </c>
      <c r="O99" s="339">
        <f t="shared" si="19"/>
        <v>0</v>
      </c>
      <c r="P99" s="58">
        <f>+'budget entry'!D133</f>
        <v>50000</v>
      </c>
      <c r="Q99" s="51">
        <v>50000</v>
      </c>
    </row>
    <row r="100" spans="1:18" s="195" customFormat="1" x14ac:dyDescent="0.3">
      <c r="A100" s="78" t="s">
        <v>9</v>
      </c>
      <c r="B100" s="63">
        <v>5722.06</v>
      </c>
      <c r="C100" s="63">
        <v>7076.84</v>
      </c>
      <c r="D100" s="63"/>
      <c r="E100" s="63"/>
      <c r="F100" s="63"/>
      <c r="G100" s="63"/>
      <c r="H100" s="63"/>
      <c r="I100" s="63"/>
      <c r="J100" s="63"/>
      <c r="K100" s="63"/>
      <c r="L100" s="63"/>
      <c r="M100" s="63"/>
      <c r="N100" s="334">
        <f t="shared" si="18"/>
        <v>12798.900000000001</v>
      </c>
      <c r="O100" s="339">
        <f t="shared" si="19"/>
        <v>0.13222004132231407</v>
      </c>
      <c r="P100" s="461">
        <f>+'budget entry'!D134</f>
        <v>96800</v>
      </c>
      <c r="Q100" s="63">
        <v>96800</v>
      </c>
    </row>
    <row r="101" spans="1:18" s="195" customFormat="1" x14ac:dyDescent="0.3">
      <c r="A101" s="2" t="s">
        <v>137</v>
      </c>
      <c r="B101" s="2">
        <f t="shared" ref="B101:N101" si="20">SUM(B91:B100)</f>
        <v>16214.54</v>
      </c>
      <c r="C101" s="2">
        <f t="shared" si="20"/>
        <v>18216.87</v>
      </c>
      <c r="D101" s="2">
        <f t="shared" si="20"/>
        <v>0</v>
      </c>
      <c r="E101" s="2">
        <f t="shared" si="20"/>
        <v>0</v>
      </c>
      <c r="F101" s="2">
        <f t="shared" si="20"/>
        <v>0</v>
      </c>
      <c r="G101" s="2">
        <f t="shared" si="20"/>
        <v>0</v>
      </c>
      <c r="H101" s="2">
        <f t="shared" si="20"/>
        <v>0</v>
      </c>
      <c r="I101" s="2">
        <f t="shared" si="20"/>
        <v>0</v>
      </c>
      <c r="J101" s="2">
        <f t="shared" si="20"/>
        <v>0</v>
      </c>
      <c r="K101" s="2">
        <f t="shared" si="20"/>
        <v>0</v>
      </c>
      <c r="L101" s="2">
        <f t="shared" si="20"/>
        <v>0</v>
      </c>
      <c r="M101" s="2">
        <f t="shared" si="20"/>
        <v>0</v>
      </c>
      <c r="N101" s="2">
        <f t="shared" si="20"/>
        <v>34431.410000000003</v>
      </c>
      <c r="O101" s="339">
        <f t="shared" si="19"/>
        <v>9.5650539698778042E-2</v>
      </c>
      <c r="P101" s="2">
        <f>SUM(P91:P100)</f>
        <v>359970.891</v>
      </c>
      <c r="Q101" s="2">
        <f>SUM(Q91:Q100)</f>
        <v>319632</v>
      </c>
    </row>
    <row r="102" spans="1:18" s="195" customFormat="1" ht="8.4" customHeight="1" x14ac:dyDescent="0.3">
      <c r="A102" s="51"/>
      <c r="B102" s="51"/>
      <c r="C102" s="51"/>
      <c r="D102" s="51"/>
      <c r="E102" s="51"/>
      <c r="F102" s="51"/>
      <c r="G102" s="51"/>
      <c r="H102" s="51"/>
      <c r="I102" s="51"/>
      <c r="J102" s="51"/>
      <c r="K102" s="51"/>
      <c r="L102" s="51"/>
      <c r="M102" s="51"/>
      <c r="N102" s="51"/>
      <c r="O102" s="339"/>
      <c r="P102" s="51"/>
      <c r="Q102" s="51"/>
    </row>
    <row r="103" spans="1:18" s="195" customFormat="1" x14ac:dyDescent="0.3">
      <c r="A103" s="128" t="s">
        <v>236</v>
      </c>
      <c r="B103" s="51"/>
      <c r="C103" s="51"/>
      <c r="D103" s="51"/>
      <c r="E103" s="51"/>
      <c r="F103" s="51"/>
      <c r="G103" s="51"/>
      <c r="H103" s="51"/>
      <c r="I103" s="51"/>
      <c r="J103" s="51"/>
      <c r="K103" s="51"/>
      <c r="L103" s="51"/>
      <c r="M103" s="51"/>
      <c r="N103" s="51"/>
      <c r="O103" s="339"/>
      <c r="P103" s="51"/>
      <c r="Q103" s="51"/>
    </row>
    <row r="104" spans="1:18" s="195" customFormat="1" x14ac:dyDescent="0.3">
      <c r="A104" s="78" t="s">
        <v>1</v>
      </c>
      <c r="B104" s="51"/>
      <c r="C104" s="51"/>
      <c r="D104" s="51"/>
      <c r="E104" s="51"/>
      <c r="F104" s="51"/>
      <c r="G104" s="51"/>
      <c r="H104" s="51"/>
      <c r="I104" s="51"/>
      <c r="J104" s="51"/>
      <c r="K104" s="51"/>
      <c r="L104" s="51"/>
      <c r="M104" s="51"/>
      <c r="N104" s="332">
        <f>SUM(B104:M104)</f>
        <v>0</v>
      </c>
      <c r="O104" s="339">
        <f>N104/P104</f>
        <v>0</v>
      </c>
      <c r="P104" s="51">
        <f>+'budget entry'!D138</f>
        <v>3000</v>
      </c>
      <c r="Q104" s="51">
        <v>5000</v>
      </c>
    </row>
    <row r="105" spans="1:18" s="195" customFormat="1" x14ac:dyDescent="0.3">
      <c r="A105" s="78" t="s">
        <v>497</v>
      </c>
      <c r="B105" s="51"/>
      <c r="C105" s="51"/>
      <c r="D105" s="51"/>
      <c r="E105" s="51"/>
      <c r="F105" s="51"/>
      <c r="G105" s="51"/>
      <c r="H105" s="51"/>
      <c r="I105" s="51"/>
      <c r="J105" s="51"/>
      <c r="K105" s="51"/>
      <c r="L105" s="51"/>
      <c r="M105" s="51"/>
      <c r="N105" s="332">
        <f>SUM(B105:M105)</f>
        <v>0</v>
      </c>
      <c r="O105" s="339">
        <f>N105/P105</f>
        <v>0</v>
      </c>
      <c r="P105" s="51">
        <f>+'budget entry'!D139+'budget entry'!D140</f>
        <v>655.5</v>
      </c>
      <c r="Q105" s="51">
        <f>73+1020+100</f>
        <v>1193</v>
      </c>
    </row>
    <row r="106" spans="1:18" s="195" customFormat="1" x14ac:dyDescent="0.3">
      <c r="A106" s="78" t="s">
        <v>479</v>
      </c>
      <c r="B106" s="51">
        <v>204.48</v>
      </c>
      <c r="C106" s="51">
        <v>161.43</v>
      </c>
      <c r="D106" s="51"/>
      <c r="E106" s="51"/>
      <c r="F106" s="51"/>
      <c r="G106" s="51"/>
      <c r="H106" s="51"/>
      <c r="I106" s="51"/>
      <c r="J106" s="51"/>
      <c r="K106" s="51"/>
      <c r="L106" s="51"/>
      <c r="M106" s="51"/>
      <c r="N106" s="332">
        <f>SUM(B106:M106)</f>
        <v>365.90999999999997</v>
      </c>
      <c r="O106" s="339">
        <f>N106/P106</f>
        <v>7.3181999999999997E-2</v>
      </c>
      <c r="P106" s="58">
        <f>+'budget entry'!D141</f>
        <v>5000</v>
      </c>
      <c r="Q106" s="51">
        <v>5000</v>
      </c>
    </row>
    <row r="107" spans="1:18" s="195" customFormat="1" x14ac:dyDescent="0.3">
      <c r="A107" s="78" t="s">
        <v>241</v>
      </c>
      <c r="B107" s="63">
        <v>600.15</v>
      </c>
      <c r="C107" s="63">
        <v>30</v>
      </c>
      <c r="D107" s="63"/>
      <c r="E107" s="63"/>
      <c r="F107" s="63"/>
      <c r="G107" s="63"/>
      <c r="H107" s="63"/>
      <c r="I107" s="63"/>
      <c r="J107" s="63"/>
      <c r="K107" s="63"/>
      <c r="L107" s="63"/>
      <c r="M107" s="63"/>
      <c r="N107" s="334">
        <f>SUM(B107:M107)</f>
        <v>630.15</v>
      </c>
      <c r="O107" s="339">
        <f>N107/P107</f>
        <v>7.8768749999999998E-2</v>
      </c>
      <c r="P107" s="461">
        <f>+'budget entry'!D142</f>
        <v>8000</v>
      </c>
      <c r="Q107" s="63">
        <v>8000</v>
      </c>
    </row>
    <row r="108" spans="1:18" s="195" customFormat="1" x14ac:dyDescent="0.3">
      <c r="A108" s="60" t="s">
        <v>668</v>
      </c>
      <c r="B108" s="87">
        <f>SUM(B104:B107)</f>
        <v>804.63</v>
      </c>
      <c r="C108" s="87">
        <f>SUM(C104:C107)</f>
        <v>191.43</v>
      </c>
      <c r="D108" s="87">
        <f>SUM(D104:D107)</f>
        <v>0</v>
      </c>
      <c r="E108" s="87">
        <f>SUM(E104:E107)</f>
        <v>0</v>
      </c>
      <c r="F108" s="87">
        <f t="shared" ref="F108:M108" si="21">SUM(F104:F107)</f>
        <v>0</v>
      </c>
      <c r="G108" s="87">
        <f t="shared" si="21"/>
        <v>0</v>
      </c>
      <c r="H108" s="87">
        <f t="shared" si="21"/>
        <v>0</v>
      </c>
      <c r="I108" s="87">
        <f t="shared" si="21"/>
        <v>0</v>
      </c>
      <c r="J108" s="87">
        <f t="shared" si="21"/>
        <v>0</v>
      </c>
      <c r="K108" s="87">
        <f t="shared" si="21"/>
        <v>0</v>
      </c>
      <c r="L108" s="87">
        <f t="shared" si="21"/>
        <v>0</v>
      </c>
      <c r="M108" s="87">
        <f t="shared" si="21"/>
        <v>0</v>
      </c>
      <c r="N108" s="87">
        <f>SUM(N104:N107)</f>
        <v>996.06</v>
      </c>
      <c r="O108" s="339">
        <f>N108/P108</f>
        <v>5.980366845786677E-2</v>
      </c>
      <c r="P108" s="87">
        <f>SUM(P104:P107)</f>
        <v>16655.5</v>
      </c>
      <c r="Q108" s="87">
        <f>SUM(Q104:Q107)</f>
        <v>19193</v>
      </c>
    </row>
    <row r="109" spans="1:18" s="195" customFormat="1" ht="7.95" customHeight="1" x14ac:dyDescent="0.3">
      <c r="A109" s="51"/>
      <c r="B109" s="58"/>
      <c r="C109" s="58"/>
      <c r="D109" s="58"/>
      <c r="E109" s="58"/>
      <c r="F109" s="58"/>
      <c r="G109" s="58"/>
      <c r="H109" s="58"/>
      <c r="I109" s="58"/>
      <c r="J109" s="58"/>
      <c r="K109" s="58"/>
      <c r="L109" s="58"/>
      <c r="M109" s="58"/>
      <c r="N109" s="58"/>
      <c r="O109" s="339"/>
      <c r="P109" s="58"/>
      <c r="Q109" s="58"/>
    </row>
    <row r="110" spans="1:18" s="195" customFormat="1" x14ac:dyDescent="0.3">
      <c r="A110" s="128" t="s">
        <v>138</v>
      </c>
      <c r="B110" s="58"/>
      <c r="C110" s="58"/>
      <c r="D110" s="58"/>
      <c r="E110" s="58"/>
      <c r="F110" s="58"/>
      <c r="G110" s="58"/>
      <c r="H110" s="58"/>
      <c r="I110" s="58"/>
      <c r="J110" s="58"/>
      <c r="K110" s="58"/>
      <c r="L110" s="58"/>
      <c r="M110" s="58"/>
      <c r="N110" s="58"/>
      <c r="O110" s="339"/>
      <c r="P110" s="58"/>
      <c r="Q110" s="58"/>
    </row>
    <row r="111" spans="1:18" s="195" customFormat="1" x14ac:dyDescent="0.3">
      <c r="A111" s="78" t="s">
        <v>480</v>
      </c>
      <c r="B111" s="58">
        <v>7544.17</v>
      </c>
      <c r="C111" s="58">
        <v>2414.39</v>
      </c>
      <c r="D111" s="58"/>
      <c r="E111" s="58"/>
      <c r="F111" s="58"/>
      <c r="G111" s="58"/>
      <c r="H111" s="58"/>
      <c r="I111" s="58"/>
      <c r="J111" s="58"/>
      <c r="K111" s="58"/>
      <c r="L111" s="58"/>
      <c r="M111" s="58"/>
      <c r="N111" s="332">
        <f>SUM(B111:M111)</f>
        <v>9958.56</v>
      </c>
      <c r="O111" s="339">
        <f t="shared" ref="O111:O118" si="22">N111/P111</f>
        <v>0.19917119999999999</v>
      </c>
      <c r="P111" s="58">
        <f>'budget entry'!D146</f>
        <v>50000</v>
      </c>
      <c r="Q111" s="58">
        <v>50000</v>
      </c>
    </row>
    <row r="112" spans="1:18" s="195" customFormat="1" x14ac:dyDescent="0.3">
      <c r="A112" s="78" t="s">
        <v>228</v>
      </c>
      <c r="B112" s="58">
        <v>3625</v>
      </c>
      <c r="C112" s="58">
        <v>3625</v>
      </c>
      <c r="D112" s="58"/>
      <c r="E112" s="58"/>
      <c r="F112" s="58"/>
      <c r="G112" s="58"/>
      <c r="H112" s="58"/>
      <c r="I112" s="58"/>
      <c r="J112" s="58"/>
      <c r="K112" s="58"/>
      <c r="L112" s="58"/>
      <c r="M112" s="58"/>
      <c r="N112" s="332">
        <f t="shared" ref="N112:N117" si="23">SUM(B112:M112)</f>
        <v>7250</v>
      </c>
      <c r="O112" s="339">
        <f t="shared" si="22"/>
        <v>0.13181818181818181</v>
      </c>
      <c r="P112" s="58">
        <f>'budget entry'!D147</f>
        <v>55000</v>
      </c>
      <c r="Q112" s="58">
        <v>50000</v>
      </c>
    </row>
    <row r="113" spans="1:18" s="195" customFormat="1" x14ac:dyDescent="0.3">
      <c r="A113" s="78" t="s">
        <v>47</v>
      </c>
      <c r="B113" s="58"/>
      <c r="C113" s="58">
        <v>646.6</v>
      </c>
      <c r="D113" s="58"/>
      <c r="E113" s="58"/>
      <c r="F113" s="58"/>
      <c r="G113" s="58"/>
      <c r="H113" s="58"/>
      <c r="I113" s="58"/>
      <c r="J113" s="58"/>
      <c r="K113" s="58"/>
      <c r="L113" s="58"/>
      <c r="M113" s="58"/>
      <c r="N113" s="332">
        <f t="shared" si="23"/>
        <v>646.6</v>
      </c>
      <c r="O113" s="339">
        <f t="shared" si="22"/>
        <v>2.4869230769230768E-2</v>
      </c>
      <c r="P113" s="58">
        <f>'budget entry'!D148</f>
        <v>26000</v>
      </c>
      <c r="Q113" s="58">
        <v>26000</v>
      </c>
    </row>
    <row r="114" spans="1:18" s="195" customFormat="1" x14ac:dyDescent="0.3">
      <c r="A114" s="78" t="s">
        <v>11</v>
      </c>
      <c r="B114" s="58">
        <v>1074</v>
      </c>
      <c r="C114" s="58">
        <v>1534.86</v>
      </c>
      <c r="D114" s="58"/>
      <c r="E114" s="58"/>
      <c r="F114" s="58"/>
      <c r="G114" s="58"/>
      <c r="H114" s="58"/>
      <c r="I114" s="58"/>
      <c r="J114" s="58"/>
      <c r="K114" s="58"/>
      <c r="L114" s="58"/>
      <c r="M114" s="58"/>
      <c r="N114" s="332">
        <f t="shared" si="23"/>
        <v>2608.8599999999997</v>
      </c>
      <c r="O114" s="339">
        <f t="shared" si="22"/>
        <v>0.10435439999999999</v>
      </c>
      <c r="P114" s="58">
        <f>+'budget entry'!D149</f>
        <v>25000</v>
      </c>
      <c r="Q114" s="58">
        <v>25000</v>
      </c>
    </row>
    <row r="115" spans="1:18" s="195" customFormat="1" x14ac:dyDescent="0.3">
      <c r="A115" s="78" t="s">
        <v>12</v>
      </c>
      <c r="B115" s="58">
        <v>19.8</v>
      </c>
      <c r="C115" s="58">
        <v>141.75</v>
      </c>
      <c r="D115" s="58"/>
      <c r="E115" s="58"/>
      <c r="F115" s="58"/>
      <c r="G115" s="58"/>
      <c r="H115" s="58"/>
      <c r="I115" s="58"/>
      <c r="J115" s="58"/>
      <c r="K115" s="58"/>
      <c r="L115" s="58"/>
      <c r="M115" s="58"/>
      <c r="N115" s="332">
        <f t="shared" si="23"/>
        <v>161.55000000000001</v>
      </c>
      <c r="O115" s="339">
        <f t="shared" si="22"/>
        <v>5.3850000000000002E-2</v>
      </c>
      <c r="P115" s="58">
        <f>+'budget entry'!D150</f>
        <v>3000</v>
      </c>
      <c r="Q115" s="58">
        <v>3000</v>
      </c>
    </row>
    <row r="116" spans="1:18" s="195" customFormat="1" x14ac:dyDescent="0.3">
      <c r="A116" s="78" t="s">
        <v>13</v>
      </c>
      <c r="B116" s="58"/>
      <c r="C116" s="58"/>
      <c r="D116" s="58"/>
      <c r="E116" s="58"/>
      <c r="F116" s="58"/>
      <c r="G116" s="58"/>
      <c r="H116" s="58"/>
      <c r="I116" s="58"/>
      <c r="J116" s="58"/>
      <c r="K116" s="58"/>
      <c r="L116" s="58"/>
      <c r="M116" s="58"/>
      <c r="N116" s="332">
        <f t="shared" si="23"/>
        <v>0</v>
      </c>
      <c r="O116" s="339">
        <f t="shared" si="22"/>
        <v>0</v>
      </c>
      <c r="P116" s="58">
        <f>+'budget entry'!D151</f>
        <v>6500</v>
      </c>
      <c r="Q116" s="58">
        <v>6500</v>
      </c>
    </row>
    <row r="117" spans="1:18" s="195" customFormat="1" x14ac:dyDescent="0.3">
      <c r="A117" s="78" t="s">
        <v>64</v>
      </c>
      <c r="B117" s="63"/>
      <c r="C117" s="63">
        <v>625.20000000000005</v>
      </c>
      <c r="D117" s="63"/>
      <c r="E117" s="63"/>
      <c r="F117" s="63"/>
      <c r="G117" s="63"/>
      <c r="H117" s="63"/>
      <c r="I117" s="63"/>
      <c r="J117" s="63"/>
      <c r="K117" s="63"/>
      <c r="L117" s="63"/>
      <c r="M117" s="63"/>
      <c r="N117" s="334">
        <f t="shared" si="23"/>
        <v>625.20000000000005</v>
      </c>
      <c r="O117" s="339">
        <f t="shared" si="22"/>
        <v>2.4279611650485439E-2</v>
      </c>
      <c r="P117" s="63">
        <f>+'budget entry'!D152</f>
        <v>25750</v>
      </c>
      <c r="Q117" s="63">
        <v>25750</v>
      </c>
    </row>
    <row r="118" spans="1:18" s="195" customFormat="1" x14ac:dyDescent="0.3">
      <c r="A118" s="2" t="s">
        <v>138</v>
      </c>
      <c r="B118" s="105">
        <f t="shared" ref="B118:N118" si="24">SUM(B111:B117)</f>
        <v>12262.97</v>
      </c>
      <c r="C118" s="105">
        <f t="shared" si="24"/>
        <v>8987.8000000000011</v>
      </c>
      <c r="D118" s="105">
        <f t="shared" si="24"/>
        <v>0</v>
      </c>
      <c r="E118" s="105">
        <f t="shared" si="24"/>
        <v>0</v>
      </c>
      <c r="F118" s="105">
        <f t="shared" si="24"/>
        <v>0</v>
      </c>
      <c r="G118" s="105">
        <f t="shared" si="24"/>
        <v>0</v>
      </c>
      <c r="H118" s="105">
        <f t="shared" si="24"/>
        <v>0</v>
      </c>
      <c r="I118" s="105">
        <f t="shared" si="24"/>
        <v>0</v>
      </c>
      <c r="J118" s="105">
        <f t="shared" si="24"/>
        <v>0</v>
      </c>
      <c r="K118" s="105">
        <f t="shared" si="24"/>
        <v>0</v>
      </c>
      <c r="L118" s="105">
        <f t="shared" si="24"/>
        <v>0</v>
      </c>
      <c r="M118" s="105">
        <f t="shared" si="24"/>
        <v>0</v>
      </c>
      <c r="N118" s="105">
        <f t="shared" si="24"/>
        <v>21250.769999999997</v>
      </c>
      <c r="O118" s="339">
        <f t="shared" si="22"/>
        <v>0.11111513725490195</v>
      </c>
      <c r="P118" s="105">
        <f>SUM(P111:P117)</f>
        <v>191250</v>
      </c>
      <c r="Q118" s="105">
        <f>SUM(Q111:Q117)</f>
        <v>186250</v>
      </c>
    </row>
    <row r="119" spans="1:18" s="195" customFormat="1" x14ac:dyDescent="0.3">
      <c r="A119" s="51"/>
      <c r="B119" s="375"/>
      <c r="C119" s="375"/>
      <c r="D119" s="375"/>
      <c r="E119" s="375"/>
      <c r="F119" s="375"/>
      <c r="G119" s="375"/>
      <c r="H119" s="375"/>
      <c r="I119" s="375"/>
      <c r="J119" s="375"/>
      <c r="K119" s="375"/>
      <c r="L119" s="375"/>
      <c r="M119" s="375"/>
      <c r="N119" s="375"/>
      <c r="O119" s="339"/>
      <c r="P119" s="375"/>
      <c r="Q119" s="375"/>
    </row>
    <row r="120" spans="1:18" s="195" customFormat="1" x14ac:dyDescent="0.3">
      <c r="A120" s="128" t="s">
        <v>706</v>
      </c>
      <c r="B120" s="51"/>
      <c r="C120" s="51"/>
      <c r="D120" s="51"/>
      <c r="E120" s="51"/>
      <c r="F120" s="51"/>
      <c r="G120" s="51"/>
      <c r="H120" s="51"/>
      <c r="I120" s="51"/>
      <c r="J120" s="51"/>
      <c r="K120" s="51"/>
      <c r="L120" s="51"/>
      <c r="M120" s="51"/>
      <c r="N120" s="51"/>
      <c r="O120" s="339"/>
      <c r="P120" s="51"/>
      <c r="Q120" s="51"/>
    </row>
    <row r="121" spans="1:18" s="195" customFormat="1" x14ac:dyDescent="0.3">
      <c r="A121" s="78" t="s">
        <v>1</v>
      </c>
      <c r="B121" s="51"/>
      <c r="C121" s="51">
        <v>1313.56</v>
      </c>
      <c r="D121" s="51"/>
      <c r="E121" s="51"/>
      <c r="F121" s="51"/>
      <c r="G121" s="51"/>
      <c r="H121" s="51"/>
      <c r="I121" s="51"/>
      <c r="J121" s="51"/>
      <c r="K121" s="51"/>
      <c r="L121" s="51"/>
      <c r="M121" s="51"/>
      <c r="N121" s="332">
        <f>SUM(B121:M121)</f>
        <v>1313.56</v>
      </c>
      <c r="O121" s="339">
        <f>N121/P121</f>
        <v>4.2118831564433898E-2</v>
      </c>
      <c r="P121" s="51">
        <f>'budget entry'!D156</f>
        <v>31187</v>
      </c>
      <c r="Q121" s="51"/>
    </row>
    <row r="122" spans="1:18" s="195" customFormat="1" x14ac:dyDescent="0.3">
      <c r="A122" s="78" t="s">
        <v>497</v>
      </c>
      <c r="B122" s="51"/>
      <c r="C122" s="51">
        <v>436.75</v>
      </c>
      <c r="D122" s="51"/>
      <c r="E122" s="51"/>
      <c r="F122" s="51"/>
      <c r="G122" s="51"/>
      <c r="H122" s="51"/>
      <c r="I122" s="51"/>
      <c r="J122" s="51"/>
      <c r="K122" s="51"/>
      <c r="L122" s="51"/>
      <c r="M122" s="51"/>
      <c r="N122" s="332">
        <f>SUM(B122:M122)</f>
        <v>436.75</v>
      </c>
      <c r="O122" s="339">
        <f>N122/P122</f>
        <v>2.2485070016474464E-2</v>
      </c>
      <c r="P122" s="51">
        <f>+'budget entry'!D157+'budget entry'!D158+'budget entry'!D159</f>
        <v>19424</v>
      </c>
      <c r="Q122" s="51"/>
    </row>
    <row r="123" spans="1:18" s="195" customFormat="1" x14ac:dyDescent="0.3">
      <c r="A123" s="78" t="s">
        <v>503</v>
      </c>
      <c r="B123" s="63"/>
      <c r="C123" s="63">
        <v>71.61</v>
      </c>
      <c r="D123" s="63"/>
      <c r="E123" s="63"/>
      <c r="F123" s="63"/>
      <c r="G123" s="63"/>
      <c r="H123" s="63"/>
      <c r="I123" s="63"/>
      <c r="J123" s="63"/>
      <c r="K123" s="63"/>
      <c r="L123" s="63"/>
      <c r="M123" s="63"/>
      <c r="N123" s="334">
        <f>SUM(B123:M123)</f>
        <v>71.61</v>
      </c>
      <c r="O123" s="339">
        <f>N123/P123</f>
        <v>5.1150000000000001E-2</v>
      </c>
      <c r="P123" s="461">
        <f>'budget entry'!D160</f>
        <v>1400</v>
      </c>
      <c r="Q123" s="63"/>
    </row>
    <row r="124" spans="1:18" s="195" customFormat="1" x14ac:dyDescent="0.3">
      <c r="A124" s="60" t="s">
        <v>729</v>
      </c>
      <c r="B124" s="87">
        <f t="shared" ref="B124:N124" si="25">SUM(B121:B123)</f>
        <v>0</v>
      </c>
      <c r="C124" s="87">
        <f t="shared" si="25"/>
        <v>1821.9199999999998</v>
      </c>
      <c r="D124" s="87">
        <f t="shared" si="25"/>
        <v>0</v>
      </c>
      <c r="E124" s="87">
        <f t="shared" si="25"/>
        <v>0</v>
      </c>
      <c r="F124" s="87">
        <f t="shared" si="25"/>
        <v>0</v>
      </c>
      <c r="G124" s="87">
        <f t="shared" si="25"/>
        <v>0</v>
      </c>
      <c r="H124" s="87">
        <f t="shared" si="25"/>
        <v>0</v>
      </c>
      <c r="I124" s="87">
        <f t="shared" si="25"/>
        <v>0</v>
      </c>
      <c r="J124" s="87">
        <f t="shared" si="25"/>
        <v>0</v>
      </c>
      <c r="K124" s="87">
        <f t="shared" si="25"/>
        <v>0</v>
      </c>
      <c r="L124" s="87">
        <f t="shared" si="25"/>
        <v>0</v>
      </c>
      <c r="M124" s="87">
        <f t="shared" si="25"/>
        <v>0</v>
      </c>
      <c r="N124" s="87">
        <f t="shared" si="25"/>
        <v>1821.9199999999998</v>
      </c>
      <c r="O124" s="339">
        <f>N124/P124</f>
        <v>3.5029512987637228E-2</v>
      </c>
      <c r="P124" s="87">
        <f>SUM(P121:P123)</f>
        <v>52011</v>
      </c>
      <c r="Q124" s="87">
        <f>SUM(Q121:Q123)</f>
        <v>0</v>
      </c>
    </row>
    <row r="125" spans="1:18" s="195" customFormat="1" x14ac:dyDescent="0.3">
      <c r="A125" s="51"/>
      <c r="B125" s="375"/>
      <c r="C125" s="375"/>
      <c r="D125" s="375"/>
      <c r="E125" s="375"/>
      <c r="F125" s="375"/>
      <c r="G125" s="375"/>
      <c r="H125" s="375"/>
      <c r="I125" s="375"/>
      <c r="J125" s="375"/>
      <c r="K125" s="375"/>
      <c r="L125" s="375"/>
      <c r="M125" s="375"/>
      <c r="N125" s="375"/>
      <c r="O125" s="339"/>
      <c r="P125" s="375"/>
      <c r="Q125" s="375"/>
    </row>
    <row r="126" spans="1:18" s="195" customFormat="1" x14ac:dyDescent="0.3">
      <c r="A126" s="60" t="s">
        <v>481</v>
      </c>
      <c r="B126" s="84">
        <v>31824.99</v>
      </c>
      <c r="C126" s="84">
        <v>31824.99</v>
      </c>
      <c r="D126" s="84"/>
      <c r="E126" s="84"/>
      <c r="F126" s="84"/>
      <c r="G126" s="84"/>
      <c r="H126" s="84"/>
      <c r="I126" s="84"/>
      <c r="J126" s="84"/>
      <c r="K126" s="84"/>
      <c r="L126" s="84"/>
      <c r="M126" s="84"/>
      <c r="N126" s="395">
        <f>SUM(B126:M126)</f>
        <v>63649.98</v>
      </c>
      <c r="O126" s="339">
        <f>N126/P126</f>
        <v>0.17127797899994079</v>
      </c>
      <c r="P126" s="84">
        <f>'budget entry'!D165</f>
        <v>371618</v>
      </c>
      <c r="Q126" s="84">
        <v>385000</v>
      </c>
    </row>
    <row r="127" spans="1:18" x14ac:dyDescent="0.3">
      <c r="B127" s="265"/>
      <c r="C127" s="265"/>
      <c r="D127" s="265"/>
      <c r="E127" s="265"/>
      <c r="F127" s="265"/>
      <c r="G127" s="265"/>
      <c r="H127" s="265"/>
      <c r="I127" s="265"/>
      <c r="J127" s="265"/>
      <c r="K127" s="265"/>
      <c r="L127" s="265"/>
      <c r="M127" s="265"/>
      <c r="N127" s="265"/>
      <c r="P127" s="265"/>
      <c r="Q127" s="265"/>
      <c r="R127" s="197"/>
    </row>
    <row r="128" spans="1:18" x14ac:dyDescent="0.3">
      <c r="A128" s="248" t="s">
        <v>600</v>
      </c>
      <c r="B128" s="530">
        <f t="shared" ref="B128:M128" si="26">+B126+B118+B108+B101+B88+B75+B67+B54+B46+B38+B124</f>
        <v>283180.57</v>
      </c>
      <c r="C128" s="530">
        <f t="shared" si="26"/>
        <v>303049.38</v>
      </c>
      <c r="D128" s="530">
        <f t="shared" si="26"/>
        <v>0</v>
      </c>
      <c r="E128" s="530">
        <f t="shared" si="26"/>
        <v>0</v>
      </c>
      <c r="F128" s="530">
        <f t="shared" si="26"/>
        <v>0</v>
      </c>
      <c r="G128" s="530">
        <f t="shared" si="26"/>
        <v>0</v>
      </c>
      <c r="H128" s="530">
        <f t="shared" si="26"/>
        <v>0</v>
      </c>
      <c r="I128" s="530">
        <f t="shared" si="26"/>
        <v>0</v>
      </c>
      <c r="J128" s="530">
        <f t="shared" si="26"/>
        <v>0</v>
      </c>
      <c r="K128" s="530">
        <f t="shared" si="26"/>
        <v>0</v>
      </c>
      <c r="L128" s="530">
        <f t="shared" si="26"/>
        <v>0</v>
      </c>
      <c r="M128" s="530">
        <f t="shared" si="26"/>
        <v>0</v>
      </c>
      <c r="N128" s="530">
        <f>+N126+N118+N108+N101+N88+N75+N67+N54+N46+N38+N124</f>
        <v>586229.95000000007</v>
      </c>
      <c r="O128" s="339">
        <f>N128/P128</f>
        <v>0.12651136703247159</v>
      </c>
      <c r="P128" s="417">
        <f>+P126+P118+P108+P101+P88+P75+P67+P54+P46+P38+P124</f>
        <v>4633812.4687999999</v>
      </c>
      <c r="Q128" s="417">
        <f>+Q126+Q118+Q108+Q101+Q88+Q75+Q67+Q54+Q46+Q38</f>
        <v>4422290</v>
      </c>
      <c r="R128" s="460"/>
    </row>
    <row r="129" spans="1:18" x14ac:dyDescent="0.3">
      <c r="A129" s="418" t="s">
        <v>590</v>
      </c>
      <c r="B129" s="262"/>
      <c r="C129" s="262">
        <v>1631</v>
      </c>
      <c r="D129" s="262"/>
      <c r="E129" s="262"/>
      <c r="F129" s="262"/>
      <c r="G129" s="262"/>
      <c r="H129" s="262"/>
      <c r="I129" s="262"/>
      <c r="J129" s="262"/>
      <c r="K129" s="262"/>
      <c r="L129" s="262"/>
      <c r="M129" s="262"/>
      <c r="N129" s="475">
        <f>SUM(B129:M129)</f>
        <v>1631</v>
      </c>
      <c r="O129" s="339" t="s">
        <v>15</v>
      </c>
      <c r="P129" s="419">
        <f>+'budget entry'!D171</f>
        <v>50000</v>
      </c>
      <c r="Q129" s="419"/>
      <c r="R129" s="195"/>
    </row>
    <row r="130" spans="1:18" x14ac:dyDescent="0.3">
      <c r="A130" s="249" t="s">
        <v>593</v>
      </c>
      <c r="B130" s="372"/>
      <c r="C130" s="408"/>
      <c r="D130" s="408"/>
      <c r="E130" s="372"/>
      <c r="F130" s="408"/>
      <c r="G130" s="408"/>
      <c r="H130" s="408"/>
      <c r="I130" s="408"/>
      <c r="J130" s="408"/>
      <c r="K130" s="408"/>
      <c r="L130" s="408"/>
      <c r="M130" s="408"/>
      <c r="N130" s="332">
        <f>SUM(B130:M130)</f>
        <v>0</v>
      </c>
      <c r="O130" s="339" t="s">
        <v>15</v>
      </c>
      <c r="P130" s="420">
        <f>+'budget entry'!D172</f>
        <v>34000</v>
      </c>
      <c r="Q130" s="420"/>
      <c r="R130" s="480"/>
    </row>
    <row r="131" spans="1:18" x14ac:dyDescent="0.3">
      <c r="A131" s="62" t="s">
        <v>603</v>
      </c>
      <c r="B131" s="416">
        <f t="shared" ref="B131:N131" si="27">SUM(B128:B130)</f>
        <v>283180.57</v>
      </c>
      <c r="C131" s="416">
        <f t="shared" si="27"/>
        <v>304680.38</v>
      </c>
      <c r="D131" s="416">
        <f t="shared" si="27"/>
        <v>0</v>
      </c>
      <c r="E131" s="416">
        <f t="shared" si="27"/>
        <v>0</v>
      </c>
      <c r="F131" s="416">
        <f t="shared" si="27"/>
        <v>0</v>
      </c>
      <c r="G131" s="416">
        <f t="shared" si="27"/>
        <v>0</v>
      </c>
      <c r="H131" s="416">
        <f t="shared" si="27"/>
        <v>0</v>
      </c>
      <c r="I131" s="416">
        <f t="shared" si="27"/>
        <v>0</v>
      </c>
      <c r="J131" s="416">
        <f t="shared" si="27"/>
        <v>0</v>
      </c>
      <c r="K131" s="416">
        <f t="shared" si="27"/>
        <v>0</v>
      </c>
      <c r="L131" s="416">
        <f t="shared" si="27"/>
        <v>0</v>
      </c>
      <c r="M131" s="416">
        <f t="shared" si="27"/>
        <v>0</v>
      </c>
      <c r="N131" s="416">
        <f t="shared" si="27"/>
        <v>587860.95000000007</v>
      </c>
      <c r="O131" s="424"/>
      <c r="P131" s="416">
        <f>SUM(P128:P130)</f>
        <v>4717812.4687999999</v>
      </c>
      <c r="Q131" s="416">
        <f>SUM(Q128:Q130)</f>
        <v>4422290</v>
      </c>
      <c r="R131" s="401"/>
    </row>
    <row r="132" spans="1:18" x14ac:dyDescent="0.3">
      <c r="B132" s="265"/>
      <c r="C132" s="265"/>
      <c r="D132" s="265"/>
      <c r="E132" s="265"/>
      <c r="F132" s="265"/>
      <c r="G132" s="265"/>
      <c r="H132" s="265"/>
      <c r="I132" s="265"/>
      <c r="J132" s="265"/>
      <c r="K132" s="265"/>
      <c r="L132" s="265"/>
      <c r="M132" s="265"/>
      <c r="N132" s="265"/>
      <c r="P132" s="265"/>
      <c r="Q132" s="265"/>
      <c r="R132" s="401"/>
    </row>
    <row r="133" spans="1:18" ht="15" thickBot="1" x14ac:dyDescent="0.35">
      <c r="A133" s="248" t="s">
        <v>482</v>
      </c>
      <c r="B133" s="295">
        <f t="shared" ref="B133:N133" si="28">B22-B131</f>
        <v>122308.71999999997</v>
      </c>
      <c r="C133" s="295">
        <f t="shared" si="28"/>
        <v>139738.77999999991</v>
      </c>
      <c r="D133" s="295">
        <f t="shared" si="28"/>
        <v>0</v>
      </c>
      <c r="E133" s="295">
        <f t="shared" si="28"/>
        <v>0</v>
      </c>
      <c r="F133" s="295">
        <f t="shared" si="28"/>
        <v>0</v>
      </c>
      <c r="G133" s="295">
        <f t="shared" si="28"/>
        <v>0</v>
      </c>
      <c r="H133" s="295">
        <f t="shared" si="28"/>
        <v>0</v>
      </c>
      <c r="I133" s="295">
        <f t="shared" si="28"/>
        <v>0</v>
      </c>
      <c r="J133" s="295">
        <f t="shared" si="28"/>
        <v>0</v>
      </c>
      <c r="K133" s="295">
        <f t="shared" si="28"/>
        <v>0</v>
      </c>
      <c r="L133" s="295">
        <f t="shared" si="28"/>
        <v>0</v>
      </c>
      <c r="M133" s="295">
        <f t="shared" si="28"/>
        <v>0</v>
      </c>
      <c r="N133" s="295">
        <f t="shared" si="28"/>
        <v>262047.49999999988</v>
      </c>
      <c r="P133" s="295">
        <f>P22-P131</f>
        <v>329493.25119999982</v>
      </c>
      <c r="Q133" s="295">
        <f>Q22-Q131</f>
        <v>114904</v>
      </c>
      <c r="R133" s="373"/>
    </row>
    <row r="134" spans="1:18" ht="15" thickTop="1" x14ac:dyDescent="0.3">
      <c r="B134" s="265"/>
      <c r="C134" s="265"/>
      <c r="D134" s="265"/>
      <c r="E134" s="265"/>
      <c r="F134" s="265"/>
      <c r="G134" s="265"/>
      <c r="H134" s="265"/>
      <c r="I134" s="265"/>
      <c r="J134" s="265"/>
      <c r="K134" s="265"/>
      <c r="L134" s="265"/>
      <c r="M134" s="265"/>
      <c r="N134" s="265"/>
      <c r="P134" s="265"/>
      <c r="Q134" s="265"/>
    </row>
    <row r="135" spans="1:18" x14ac:dyDescent="0.3">
      <c r="A135" s="62" t="s">
        <v>728</v>
      </c>
      <c r="P135" s="257">
        <v>2914689</v>
      </c>
      <c r="Q135" s="257">
        <f>802104+133000+1537026</f>
        <v>2472130</v>
      </c>
    </row>
    <row r="136" spans="1:18" ht="15" thickBot="1" x14ac:dyDescent="0.35">
      <c r="A136" s="62" t="s">
        <v>727</v>
      </c>
      <c r="P136" s="266">
        <f>+P135+P133</f>
        <v>3244182.2511999998</v>
      </c>
      <c r="Q136" s="266">
        <f>+Q135+Q133</f>
        <v>2587034</v>
      </c>
    </row>
    <row r="137" spans="1:18" ht="15" thickTop="1" x14ac:dyDescent="0.3">
      <c r="N137" s="373"/>
      <c r="P137" s="57"/>
      <c r="Q137" s="57"/>
    </row>
    <row r="138" spans="1:18" x14ac:dyDescent="0.3">
      <c r="A138" s="62"/>
      <c r="B138" s="62"/>
      <c r="C138" s="62"/>
      <c r="D138" s="62"/>
      <c r="E138" s="62"/>
      <c r="F138" s="62"/>
      <c r="G138" s="62"/>
      <c r="H138" s="62"/>
      <c r="I138" s="62"/>
      <c r="J138" s="62"/>
      <c r="K138" s="62"/>
      <c r="L138" s="62"/>
      <c r="M138" s="62"/>
      <c r="N138" s="62"/>
      <c r="O138" s="292"/>
      <c r="P138" s="62"/>
      <c r="Q138" s="62"/>
    </row>
    <row r="139" spans="1:18" x14ac:dyDescent="0.3">
      <c r="A139" s="62"/>
      <c r="B139" s="62"/>
      <c r="C139" s="62"/>
      <c r="D139" s="62"/>
      <c r="E139" s="62"/>
      <c r="F139" s="62"/>
      <c r="G139" s="62"/>
      <c r="H139" s="62"/>
      <c r="I139" s="62"/>
      <c r="J139" s="62"/>
      <c r="K139" s="62"/>
      <c r="L139" s="62"/>
      <c r="M139" s="62"/>
      <c r="N139" s="62"/>
      <c r="O139" s="292"/>
      <c r="P139" s="62"/>
      <c r="Q139" s="62"/>
    </row>
    <row r="140" spans="1:18" x14ac:dyDescent="0.3">
      <c r="A140" s="60"/>
      <c r="B140" s="60"/>
      <c r="C140" s="60"/>
      <c r="D140" s="60"/>
      <c r="E140" s="60"/>
      <c r="F140" s="60"/>
      <c r="G140" s="60"/>
      <c r="H140" s="60"/>
      <c r="I140" s="60"/>
      <c r="J140" s="60"/>
      <c r="K140" s="60"/>
      <c r="L140" s="60"/>
      <c r="M140" s="60"/>
      <c r="N140" s="60"/>
      <c r="O140" s="491"/>
      <c r="P140" s="60"/>
      <c r="Q140" s="60"/>
    </row>
    <row r="141" spans="1:18" x14ac:dyDescent="0.3">
      <c r="P141" s="57"/>
      <c r="Q141" s="57"/>
    </row>
    <row r="142" spans="1:18" x14ac:dyDescent="0.3">
      <c r="P142" s="519"/>
      <c r="Q142" s="268"/>
    </row>
    <row r="143" spans="1:18" x14ac:dyDescent="0.3">
      <c r="P143" s="519"/>
      <c r="Q143" s="268"/>
    </row>
    <row r="144" spans="1:18" x14ac:dyDescent="0.3">
      <c r="P144" s="57"/>
      <c r="Q144" s="57"/>
    </row>
    <row r="145" spans="16:17" x14ac:dyDescent="0.3">
      <c r="P145" s="519"/>
      <c r="Q145" s="268"/>
    </row>
    <row r="146" spans="16:17" x14ac:dyDescent="0.3">
      <c r="P146" s="519"/>
      <c r="Q146" s="268"/>
    </row>
    <row r="147" spans="16:17" x14ac:dyDescent="0.3">
      <c r="P147" s="57"/>
      <c r="Q147" s="57"/>
    </row>
    <row r="148" spans="16:17" x14ac:dyDescent="0.3">
      <c r="P148" s="57"/>
      <c r="Q148" s="57"/>
    </row>
    <row r="149" spans="16:17" x14ac:dyDescent="0.3">
      <c r="P149" s="57"/>
      <c r="Q149" s="57"/>
    </row>
    <row r="150" spans="16:17" x14ac:dyDescent="0.3">
      <c r="P150" s="262"/>
      <c r="Q150" s="262"/>
    </row>
    <row r="151" spans="16:17" x14ac:dyDescent="0.3">
      <c r="P151" s="262"/>
      <c r="Q151" s="262"/>
    </row>
  </sheetData>
  <pageMargins left="0.7" right="0.7" top="0.25" bottom="0.5" header="0.3" footer="0.3"/>
  <pageSetup orientation="landscape" r:id="rId1"/>
  <headerFooter>
    <oddFooter>&amp;L&amp;D&amp;T&amp;R&amp;P</oddFooter>
  </headerFooter>
  <rowBreaks count="2" manualBreakCount="2">
    <brk id="39" max="16383" man="1"/>
    <brk id="10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463"/>
  <sheetViews>
    <sheetView zoomScaleNormal="100" workbookViewId="0">
      <pane ySplit="1" topLeftCell="A98" activePane="bottomLeft" state="frozen"/>
      <selection activeCell="B1" sqref="B1"/>
      <selection pane="bottomLeft" activeCell="B61" sqref="B61"/>
    </sheetView>
  </sheetViews>
  <sheetFormatPr defaultColWidth="9.109375" defaultRowHeight="12" customHeight="1" x14ac:dyDescent="0.3"/>
  <cols>
    <col min="1" max="1" width="40.88671875" style="57" customWidth="1"/>
    <col min="2" max="2" width="11.5546875" style="57" bestFit="1" customWidth="1"/>
    <col min="3" max="3" width="11.5546875" style="57" customWidth="1"/>
    <col min="4" max="4" width="11.5546875" style="57" bestFit="1" customWidth="1"/>
    <col min="5" max="5" width="11.5546875" style="57" hidden="1" customWidth="1"/>
    <col min="6" max="6" width="10.5546875" style="57" hidden="1" customWidth="1"/>
    <col min="7" max="7" width="23" style="51" customWidth="1"/>
    <col min="8" max="47" width="9.109375" style="51"/>
    <col min="48" max="16384" width="9.109375" style="57"/>
  </cols>
  <sheetData>
    <row r="1" spans="1:47" s="44" customFormat="1" ht="29.4" thickBot="1" x14ac:dyDescent="0.35">
      <c r="A1" s="49"/>
      <c r="B1" s="187" t="s">
        <v>429</v>
      </c>
      <c r="C1" s="187" t="s">
        <v>424</v>
      </c>
      <c r="D1" s="187" t="s">
        <v>423</v>
      </c>
      <c r="E1" s="187" t="s">
        <v>318</v>
      </c>
      <c r="F1" s="50" t="s">
        <v>272</v>
      </c>
    </row>
    <row r="2" spans="1:47" s="53" customFormat="1" ht="20.25" customHeight="1" x14ac:dyDescent="0.3">
      <c r="A2" s="248" t="s">
        <v>16</v>
      </c>
      <c r="B2" s="249"/>
      <c r="C2" s="249"/>
      <c r="D2" s="249"/>
      <c r="E2" s="52"/>
      <c r="F2" s="52"/>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row>
    <row r="3" spans="1:47" s="51" customFormat="1" ht="23.25" customHeight="1" thickBot="1" x14ac:dyDescent="0.35">
      <c r="A3" s="54" t="s">
        <v>389</v>
      </c>
    </row>
    <row r="4" spans="1:47" s="51" customFormat="1" ht="15" customHeight="1" x14ac:dyDescent="0.3">
      <c r="A4" s="58" t="s">
        <v>390</v>
      </c>
      <c r="B4" s="51">
        <f>2789379+187213+5000</f>
        <v>2981592</v>
      </c>
      <c r="C4" s="51">
        <f>2671216+183457</f>
        <v>2854673</v>
      </c>
      <c r="D4" s="51">
        <f>2675466+183687</f>
        <v>2859153</v>
      </c>
    </row>
    <row r="5" spans="1:47" ht="12" customHeight="1" x14ac:dyDescent="0.3">
      <c r="A5" s="56" t="s">
        <v>391</v>
      </c>
      <c r="B5" s="57">
        <v>2582176</v>
      </c>
      <c r="C5" s="57">
        <f>2278419+174476+21000</f>
        <v>2473895</v>
      </c>
      <c r="D5" s="57">
        <f>2302293+172349</f>
        <v>2474642</v>
      </c>
      <c r="E5" s="57" t="s">
        <v>15</v>
      </c>
      <c r="F5" s="57" t="s">
        <v>15</v>
      </c>
    </row>
    <row r="6" spans="1:47" ht="14.25" customHeight="1" x14ac:dyDescent="0.3">
      <c r="A6" s="56" t="s">
        <v>392</v>
      </c>
      <c r="B6" s="56">
        <f>2212676+171593+50000</f>
        <v>2434269</v>
      </c>
      <c r="C6" s="56">
        <f>2052148+168153+52000</f>
        <v>2272301</v>
      </c>
      <c r="D6" s="56">
        <f>2104148+166481</f>
        <v>2270629</v>
      </c>
      <c r="E6" s="56" t="s">
        <v>15</v>
      </c>
      <c r="F6" s="56" t="s">
        <v>15</v>
      </c>
    </row>
    <row r="7" spans="1:47" ht="12" customHeight="1" x14ac:dyDescent="0.3">
      <c r="A7" s="58" t="s">
        <v>183</v>
      </c>
      <c r="B7" s="56">
        <v>1836578</v>
      </c>
      <c r="C7" s="56">
        <f>1749297+116008</f>
        <v>1865305</v>
      </c>
      <c r="D7" s="56">
        <f>1750217+115470</f>
        <v>1865687</v>
      </c>
      <c r="E7" s="56"/>
      <c r="F7" s="56"/>
    </row>
    <row r="8" spans="1:47" s="51" customFormat="1" ht="12" customHeight="1" x14ac:dyDescent="0.3">
      <c r="A8" s="58" t="s">
        <v>305</v>
      </c>
      <c r="B8" s="56">
        <f>1334096+104540</f>
        <v>1438636</v>
      </c>
      <c r="C8" s="56">
        <f>776038+58605</f>
        <v>834643</v>
      </c>
      <c r="D8" s="56">
        <f>867732+59415</f>
        <v>927147</v>
      </c>
      <c r="E8" s="56"/>
      <c r="F8" s="56"/>
    </row>
    <row r="9" spans="1:47" s="51" customFormat="1" ht="12" customHeight="1" x14ac:dyDescent="0.3">
      <c r="A9" s="56" t="s">
        <v>180</v>
      </c>
      <c r="B9" s="56" t="e">
        <f>+#REF!</f>
        <v>#REF!</v>
      </c>
      <c r="C9" s="56" t="e">
        <f>+#REF!</f>
        <v>#REF!</v>
      </c>
      <c r="D9" s="56">
        <v>6500</v>
      </c>
      <c r="E9" s="56">
        <v>6400</v>
      </c>
      <c r="F9" s="56">
        <v>6400</v>
      </c>
    </row>
    <row r="10" spans="1:47" s="51" customFormat="1" ht="12" customHeight="1" x14ac:dyDescent="0.3">
      <c r="A10" s="56" t="s">
        <v>230</v>
      </c>
      <c r="B10" s="209" t="e">
        <f>+#REF!+#REF!</f>
        <v>#REF!</v>
      </c>
      <c r="C10" s="209">
        <v>35000</v>
      </c>
      <c r="D10" s="209" t="e">
        <f>+#REF!+#REF!</f>
        <v>#REF!</v>
      </c>
      <c r="E10" s="56">
        <v>25000</v>
      </c>
      <c r="F10" s="56">
        <v>36600</v>
      </c>
    </row>
    <row r="11" spans="1:47" s="51" customFormat="1" ht="17.25" customHeight="1" thickBot="1" x14ac:dyDescent="0.35">
      <c r="A11" s="248" t="s">
        <v>102</v>
      </c>
      <c r="B11" s="250" t="e">
        <f>SUM(B4:B10)</f>
        <v>#REF!</v>
      </c>
      <c r="C11" s="250" t="e">
        <f>SUM(C4:C10)</f>
        <v>#REF!</v>
      </c>
      <c r="D11" s="250" t="e">
        <f>SUM(D4:D10)</f>
        <v>#REF!</v>
      </c>
      <c r="E11" s="59">
        <f>SUM(E5:E10)</f>
        <v>31400</v>
      </c>
      <c r="F11" s="59">
        <f>SUM(F5:F10)</f>
        <v>43000</v>
      </c>
    </row>
    <row r="12" spans="1:47" ht="12" customHeight="1" thickTop="1" x14ac:dyDescent="0.3"/>
    <row r="13" spans="1:47" s="62" customFormat="1" ht="16.5" customHeight="1" x14ac:dyDescent="0.3">
      <c r="A13" s="248" t="s">
        <v>19</v>
      </c>
      <c r="B13" s="251"/>
      <c r="C13" s="251"/>
      <c r="D13" s="251"/>
      <c r="E13" s="61"/>
      <c r="F13" s="61"/>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row>
    <row r="14" spans="1:47" s="62" customFormat="1" ht="9" customHeight="1" x14ac:dyDescent="0.3">
      <c r="A14" s="62" t="s">
        <v>15</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row>
    <row r="15" spans="1:47" ht="12" customHeight="1" x14ac:dyDescent="0.3">
      <c r="A15" s="248" t="s">
        <v>97</v>
      </c>
      <c r="B15" s="251"/>
      <c r="C15" s="251"/>
      <c r="D15" s="251"/>
      <c r="E15" s="61"/>
      <c r="F15" s="61"/>
    </row>
    <row r="16" spans="1:47" s="51" customFormat="1" ht="12" customHeight="1" x14ac:dyDescent="0.3">
      <c r="A16" s="58" t="s">
        <v>383</v>
      </c>
      <c r="B16" s="58" t="e">
        <f>+#REF!+#REF!+#REF!+#REF!+#REF!+#REF!</f>
        <v>#REF!</v>
      </c>
      <c r="C16" s="58" t="e">
        <f>+#REF!+#REF!+#REF!+#REF!+#REF!+#REF!</f>
        <v>#REF!</v>
      </c>
      <c r="D16" s="58" t="e">
        <f>+#REF!+#REF!+#REF!+#REF!+#REF!+#REF!</f>
        <v>#REF!</v>
      </c>
      <c r="E16" s="55"/>
      <c r="F16" s="55"/>
    </row>
    <row r="17" spans="1:6" ht="6.75" customHeight="1" x14ac:dyDescent="0.3"/>
    <row r="18" spans="1:6" s="51" customFormat="1" ht="12" customHeight="1" x14ac:dyDescent="0.3">
      <c r="A18" s="58" t="s">
        <v>384</v>
      </c>
      <c r="B18" s="58" t="e">
        <f>+#REF!+#REF!+#REF!+#REF!+#REF!+#REF!+#REF!</f>
        <v>#REF!</v>
      </c>
      <c r="C18" s="58" t="e">
        <f>+#REF!+#REF!+#REF!+#REF!+#REF!+#REF!+#REF!</f>
        <v>#REF!</v>
      </c>
      <c r="D18" s="58" t="e">
        <f>+#REF!+#REF!+#REF!+#REF!+#REF!+#REF!+#REF!</f>
        <v>#REF!</v>
      </c>
      <c r="E18" s="58"/>
      <c r="F18" s="58"/>
    </row>
    <row r="19" spans="1:6" ht="6" customHeight="1" x14ac:dyDescent="0.3"/>
    <row r="20" spans="1:6" s="51" customFormat="1" ht="12" customHeight="1" x14ac:dyDescent="0.3">
      <c r="A20" s="58" t="s">
        <v>385</v>
      </c>
      <c r="B20" s="58" t="e">
        <f>+#REF!+#REF!+#REF!+#REF!+#REF!+#REF!+#REF!</f>
        <v>#REF!</v>
      </c>
      <c r="C20" s="58" t="e">
        <f>+#REF!+#REF!+#REF!+#REF!+#REF!+#REF!+#REF!</f>
        <v>#REF!</v>
      </c>
      <c r="D20" s="58" t="e">
        <f>+#REF!+#REF!+#REF!+#REF!+#REF!+#REF!+#REF!</f>
        <v>#REF!</v>
      </c>
      <c r="E20" s="58"/>
      <c r="F20" s="58"/>
    </row>
    <row r="21" spans="1:6" s="51" customFormat="1" ht="7.5" customHeight="1" x14ac:dyDescent="0.3">
      <c r="A21" s="57"/>
      <c r="B21" s="57"/>
      <c r="C21" s="57"/>
      <c r="D21" s="57"/>
      <c r="E21" s="57"/>
      <c r="F21" s="57"/>
    </row>
    <row r="22" spans="1:6" s="51" customFormat="1" ht="12" customHeight="1" x14ac:dyDescent="0.3">
      <c r="A22" s="58" t="s">
        <v>386</v>
      </c>
      <c r="B22" s="57" t="e">
        <f>+#REF!+#REF!+#REF!+#REF!+#REF!+#REF!</f>
        <v>#REF!</v>
      </c>
      <c r="C22" s="57" t="e">
        <f>+#REF!+#REF!+#REF!+#REF!+#REF!+#REF!</f>
        <v>#REF!</v>
      </c>
      <c r="D22" s="57" t="e">
        <f>+#REF!+#REF!+#REF!+#REF!+#REF!+#REF!</f>
        <v>#REF!</v>
      </c>
      <c r="E22" s="57"/>
      <c r="F22" s="57"/>
    </row>
    <row r="23" spans="1:6" s="51" customFormat="1" ht="8.25" customHeight="1" x14ac:dyDescent="0.3">
      <c r="A23" s="58"/>
      <c r="B23" s="57"/>
      <c r="C23" s="57"/>
      <c r="D23" s="57"/>
      <c r="E23" s="57"/>
      <c r="F23" s="57"/>
    </row>
    <row r="24" spans="1:6" s="51" customFormat="1" ht="13.5" customHeight="1" x14ac:dyDescent="0.3">
      <c r="A24" s="58" t="s">
        <v>387</v>
      </c>
      <c r="B24" s="57" t="e">
        <f>+#REF!+#REF!+#REF!+#REF!+#REF!</f>
        <v>#REF!</v>
      </c>
      <c r="C24" s="57" t="e">
        <f>+#REF!+#REF!+#REF!+#REF!+#REF!</f>
        <v>#REF!</v>
      </c>
      <c r="D24" s="57" t="e">
        <f>+#REF!+#REF!+#REF!+#REF!+#REF!</f>
        <v>#REF!</v>
      </c>
      <c r="E24" s="57"/>
      <c r="F24" s="57"/>
    </row>
    <row r="25" spans="1:6" s="51" customFormat="1" ht="7.5" customHeight="1" x14ac:dyDescent="0.3">
      <c r="A25" s="58"/>
      <c r="B25" s="57"/>
      <c r="C25" s="57"/>
      <c r="D25" s="57"/>
      <c r="E25" s="57"/>
      <c r="F25" s="57"/>
    </row>
    <row r="26" spans="1:6" s="51" customFormat="1" ht="12" customHeight="1" x14ac:dyDescent="0.3">
      <c r="A26" s="58" t="s">
        <v>122</v>
      </c>
      <c r="B26" s="58">
        <f>'17-18 wo cmo'!H11</f>
        <v>67624</v>
      </c>
      <c r="C26" s="58">
        <v>66115</v>
      </c>
      <c r="D26" s="58">
        <v>66840</v>
      </c>
      <c r="E26" s="58">
        <v>69288</v>
      </c>
      <c r="F26" s="58">
        <v>56171</v>
      </c>
    </row>
    <row r="27" spans="1:6" s="51" customFormat="1" ht="8.25" customHeight="1" x14ac:dyDescent="0.3">
      <c r="A27" s="58"/>
      <c r="B27" s="57"/>
      <c r="C27" s="57"/>
      <c r="D27" s="57" t="s">
        <v>15</v>
      </c>
      <c r="E27" s="57"/>
      <c r="F27" s="57"/>
    </row>
    <row r="28" spans="1:6" s="51" customFormat="1" ht="12" customHeight="1" x14ac:dyDescent="0.3">
      <c r="A28" s="58" t="s">
        <v>123</v>
      </c>
      <c r="B28" s="63">
        <f>'17-18 wo cmo'!H12</f>
        <v>924431.14899999998</v>
      </c>
      <c r="C28" s="63">
        <v>852453</v>
      </c>
      <c r="D28" s="63">
        <v>860413</v>
      </c>
      <c r="E28" s="58">
        <v>879018</v>
      </c>
      <c r="F28" s="58">
        <v>697939</v>
      </c>
    </row>
    <row r="29" spans="1:6" s="51" customFormat="1" ht="6" customHeight="1" x14ac:dyDescent="0.3">
      <c r="A29" s="58"/>
      <c r="B29" s="58"/>
      <c r="C29" s="58"/>
      <c r="D29" s="58"/>
      <c r="E29" s="58"/>
      <c r="F29" s="58"/>
    </row>
    <row r="30" spans="1:6" s="51" customFormat="1" ht="12" customHeight="1" x14ac:dyDescent="0.3">
      <c r="A30" s="62" t="s">
        <v>156</v>
      </c>
      <c r="B30" s="62" t="e">
        <f>SUM(B16:B28)</f>
        <v>#REF!</v>
      </c>
      <c r="C30" s="62" t="e">
        <f>SUM(C16:C28)</f>
        <v>#REF!</v>
      </c>
      <c r="D30" s="62" t="e">
        <f>SUM(D16:D28)</f>
        <v>#REF!</v>
      </c>
      <c r="E30" s="62">
        <f>SUM(E17:E29)</f>
        <v>948306</v>
      </c>
      <c r="F30" s="62">
        <f>SUM(F17:F29)</f>
        <v>754110</v>
      </c>
    </row>
    <row r="31" spans="1:6" s="60" customFormat="1" ht="12" customHeight="1" x14ac:dyDescent="0.3">
      <c r="A31" s="62"/>
      <c r="B31" s="55"/>
      <c r="C31" s="55"/>
      <c r="D31" s="55"/>
      <c r="E31" s="55"/>
      <c r="F31" s="55"/>
    </row>
    <row r="32" spans="1:6" s="60" customFormat="1" ht="12" customHeight="1" x14ac:dyDescent="0.3">
      <c r="A32" s="248" t="s">
        <v>96</v>
      </c>
      <c r="B32" s="251"/>
      <c r="C32" s="251"/>
      <c r="D32" s="251"/>
      <c r="E32" s="61"/>
      <c r="F32" s="61"/>
    </row>
    <row r="33" spans="1:47" s="60" customFormat="1" ht="12" customHeight="1" x14ac:dyDescent="0.3">
      <c r="A33" s="58" t="s">
        <v>388</v>
      </c>
      <c r="B33" s="55" t="e">
        <f>+#REF!+#REF!+#REF!+#REF!+#REF!+#REF!+#REF!+#REF!</f>
        <v>#REF!</v>
      </c>
      <c r="C33" s="55" t="e">
        <f>+#REF!+#REF!+#REF!+#REF!+#REF!+#REF!+#REF!+#REF!</f>
        <v>#REF!</v>
      </c>
      <c r="D33" s="55" t="e">
        <f>+#REF!+#REF!+#REF!+#REF!+#REF!+#REF!+#REF!+#REF!</f>
        <v>#REF!</v>
      </c>
      <c r="E33" s="55"/>
      <c r="F33" s="55"/>
    </row>
    <row r="34" spans="1:47" s="60" customFormat="1" ht="12" customHeight="1" x14ac:dyDescent="0.3">
      <c r="A34" s="58" t="s">
        <v>125</v>
      </c>
      <c r="B34" s="63" t="e">
        <f>+#REF!</f>
        <v>#REF!</v>
      </c>
      <c r="C34" s="63" t="e">
        <f>+#REF!</f>
        <v>#REF!</v>
      </c>
      <c r="D34" s="63" t="e">
        <f>+#REF!</f>
        <v>#REF!</v>
      </c>
      <c r="E34" s="63">
        <v>14000</v>
      </c>
      <c r="F34" s="63"/>
    </row>
    <row r="35" spans="1:47" s="51" customFormat="1" ht="12" customHeight="1" x14ac:dyDescent="0.3">
      <c r="A35" s="62" t="s">
        <v>36</v>
      </c>
      <c r="B35" s="55" t="e">
        <f>SUM(B33:B34)</f>
        <v>#REF!</v>
      </c>
      <c r="C35" s="55" t="e">
        <f>SUM(C33:C34)</f>
        <v>#REF!</v>
      </c>
      <c r="D35" s="55" t="e">
        <f>SUM(D33:D34)</f>
        <v>#REF!</v>
      </c>
      <c r="E35" s="55">
        <f>SUM(E34:E34)</f>
        <v>14000</v>
      </c>
      <c r="F35" s="55">
        <f>SUM(F34:F34)</f>
        <v>0</v>
      </c>
    </row>
    <row r="36" spans="1:47" s="51" customFormat="1" ht="6" customHeight="1" x14ac:dyDescent="0.3">
      <c r="A36" s="57"/>
      <c r="B36" s="64" t="s">
        <v>15</v>
      </c>
      <c r="C36" s="64" t="s">
        <v>15</v>
      </c>
      <c r="D36" s="64" t="s">
        <v>15</v>
      </c>
      <c r="E36" s="64" t="s">
        <v>15</v>
      </c>
      <c r="F36" s="64" t="s">
        <v>15</v>
      </c>
    </row>
    <row r="37" spans="1:47" ht="12" customHeight="1" x14ac:dyDescent="0.3">
      <c r="A37" s="248" t="s">
        <v>98</v>
      </c>
      <c r="B37" s="251"/>
      <c r="C37" s="251"/>
      <c r="D37" s="251"/>
      <c r="E37" s="61"/>
      <c r="F37" s="61"/>
    </row>
    <row r="38" spans="1:47" s="51" customFormat="1" ht="12" customHeight="1" x14ac:dyDescent="0.3">
      <c r="A38" s="58" t="s">
        <v>388</v>
      </c>
      <c r="B38" s="128" t="e">
        <f>+#REF!+#REF!+#REF!+#REF!+#REF!+#REF!+#REF!+#REF!</f>
        <v>#REF!</v>
      </c>
      <c r="C38" s="128" t="e">
        <f>+#REF!+#REF!+#REF!+#REF!+#REF!+#REF!+#REF!+#REF!</f>
        <v>#REF!</v>
      </c>
      <c r="D38" s="128" t="e">
        <f>+#REF!+#REF!+#REF!+#REF!+#REF!+#REF!+#REF!+#REF!</f>
        <v>#REF!</v>
      </c>
      <c r="E38" s="55"/>
      <c r="F38" s="55"/>
    </row>
    <row r="39" spans="1:47" s="65" customFormat="1" ht="12" customHeight="1" x14ac:dyDescent="0.3">
      <c r="A39" s="62" t="s">
        <v>296</v>
      </c>
      <c r="B39" s="62" t="e">
        <f>SUM(B38)</f>
        <v>#REF!</v>
      </c>
      <c r="C39" s="62" t="e">
        <f>SUM(C38)</f>
        <v>#REF!</v>
      </c>
      <c r="D39" s="62" t="e">
        <f>SUM(D38)</f>
        <v>#REF!</v>
      </c>
      <c r="E39" s="62" t="e">
        <f>SUM(#REF!)</f>
        <v>#REF!</v>
      </c>
      <c r="F39" s="62" t="e">
        <f>SUM(#REF!)</f>
        <v>#REF!</v>
      </c>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row>
    <row r="40" spans="1:47" ht="7.5" customHeight="1" x14ac:dyDescent="0.3">
      <c r="B40" s="58"/>
      <c r="C40" s="58"/>
      <c r="D40" s="58"/>
      <c r="E40" s="58"/>
      <c r="F40" s="58"/>
    </row>
    <row r="41" spans="1:47" ht="12" customHeight="1" x14ac:dyDescent="0.3">
      <c r="A41" s="248" t="s">
        <v>95</v>
      </c>
      <c r="B41" s="251"/>
      <c r="C41" s="251"/>
      <c r="D41" s="251"/>
      <c r="E41" s="61"/>
      <c r="F41" s="61"/>
    </row>
    <row r="42" spans="1:47" s="51" customFormat="1" ht="12" customHeight="1" x14ac:dyDescent="0.3">
      <c r="A42" s="58" t="s">
        <v>388</v>
      </c>
      <c r="B42" s="58">
        <f>363300-13000-40000</f>
        <v>310300</v>
      </c>
      <c r="C42" s="58" t="e">
        <f>+#REF!+#REF!+#REF!+#REF!</f>
        <v>#REF!</v>
      </c>
      <c r="D42" s="58" t="e">
        <f>+#REF!+#REF!+#REF!+#REF!</f>
        <v>#REF!</v>
      </c>
      <c r="E42" s="58">
        <v>225491</v>
      </c>
      <c r="F42" s="58">
        <v>214467</v>
      </c>
    </row>
    <row r="43" spans="1:47" s="51" customFormat="1" ht="12" customHeight="1" x14ac:dyDescent="0.3">
      <c r="A43" s="58" t="s">
        <v>275</v>
      </c>
      <c r="B43" s="58" t="e">
        <f>+#REF!</f>
        <v>#REF!</v>
      </c>
      <c r="C43" s="58" t="e">
        <f>+#REF!</f>
        <v>#REF!</v>
      </c>
      <c r="D43" s="58" t="e">
        <f>+#REF!</f>
        <v>#REF!</v>
      </c>
      <c r="E43" s="58">
        <v>10000</v>
      </c>
      <c r="F43" s="58">
        <v>5175</v>
      </c>
    </row>
    <row r="44" spans="1:47" s="51" customFormat="1" ht="12" customHeight="1" x14ac:dyDescent="0.3">
      <c r="A44" s="58" t="s">
        <v>346</v>
      </c>
      <c r="B44" s="58" t="e">
        <f>+#REF!</f>
        <v>#REF!</v>
      </c>
      <c r="C44" s="58" t="e">
        <f>+#REF!</f>
        <v>#REF!</v>
      </c>
      <c r="D44" s="58" t="e">
        <f>+#REF!</f>
        <v>#REF!</v>
      </c>
      <c r="E44" s="58"/>
      <c r="F44" s="58"/>
    </row>
    <row r="45" spans="1:47" s="51" customFormat="1" ht="12" customHeight="1" x14ac:dyDescent="0.3">
      <c r="A45" s="58" t="s">
        <v>6</v>
      </c>
      <c r="B45" s="63" t="e">
        <f>+#REF!</f>
        <v>#REF!</v>
      </c>
      <c r="C45" s="63" t="e">
        <f>+#REF!</f>
        <v>#REF!</v>
      </c>
      <c r="D45" s="63" t="e">
        <f>+#REF!</f>
        <v>#REF!</v>
      </c>
      <c r="E45" s="63">
        <v>40000</v>
      </c>
      <c r="F45" s="63">
        <v>29009</v>
      </c>
    </row>
    <row r="46" spans="1:47" ht="12" customHeight="1" x14ac:dyDescent="0.3">
      <c r="A46" s="51" t="s">
        <v>186</v>
      </c>
      <c r="B46" s="46" t="e">
        <f>SUM(B42:B45)</f>
        <v>#REF!</v>
      </c>
      <c r="C46" s="46" t="e">
        <f>SUM(C42:C45)</f>
        <v>#REF!</v>
      </c>
      <c r="D46" s="46" t="e">
        <f>SUM(D42:D45)</f>
        <v>#REF!</v>
      </c>
      <c r="E46" s="46">
        <f>SUM(E42:E45)</f>
        <v>275491</v>
      </c>
      <c r="F46" s="46">
        <f>SUM(F42:F45)</f>
        <v>248651</v>
      </c>
    </row>
    <row r="47" spans="1:47" ht="9.75" customHeight="1" x14ac:dyDescent="0.3">
      <c r="B47" s="51"/>
      <c r="C47" s="51"/>
      <c r="D47" s="51"/>
      <c r="E47" s="51"/>
      <c r="F47" s="51"/>
    </row>
    <row r="48" spans="1:47" ht="12" customHeight="1" x14ac:dyDescent="0.3">
      <c r="A48" s="51" t="s">
        <v>314</v>
      </c>
      <c r="B48" s="46" t="e">
        <f>+#REF!</f>
        <v>#REF!</v>
      </c>
      <c r="C48" s="46" t="e">
        <f>+#REF!</f>
        <v>#REF!</v>
      </c>
      <c r="D48" s="46" t="e">
        <f>+#REF!</f>
        <v>#REF!</v>
      </c>
      <c r="E48" s="46">
        <v>15000</v>
      </c>
      <c r="F48" s="46">
        <v>25000</v>
      </c>
    </row>
    <row r="49" spans="1:47" ht="7.5" customHeight="1" x14ac:dyDescent="0.3">
      <c r="A49" s="51"/>
      <c r="B49" s="64"/>
      <c r="C49" s="64"/>
      <c r="D49" s="64"/>
      <c r="E49" s="64"/>
      <c r="F49" s="64"/>
    </row>
    <row r="50" spans="1:47" ht="15" customHeight="1" x14ac:dyDescent="0.3">
      <c r="A50" s="51" t="s">
        <v>355</v>
      </c>
      <c r="B50" s="64" t="e">
        <f>+#REF!</f>
        <v>#REF!</v>
      </c>
      <c r="C50" s="64" t="e">
        <f>+#REF!</f>
        <v>#REF!</v>
      </c>
      <c r="D50" s="64" t="e">
        <f>+#REF!</f>
        <v>#REF!</v>
      </c>
      <c r="E50" s="64"/>
      <c r="F50" s="64"/>
      <c r="G50" s="51" t="s">
        <v>358</v>
      </c>
    </row>
    <row r="51" spans="1:47" ht="7.5" customHeight="1" x14ac:dyDescent="0.3">
      <c r="A51" s="51"/>
      <c r="B51" s="64"/>
      <c r="C51" s="64"/>
      <c r="D51" s="64"/>
      <c r="E51" s="64"/>
      <c r="F51" s="64"/>
    </row>
    <row r="52" spans="1:47" s="62" customFormat="1" ht="12" customHeight="1" x14ac:dyDescent="0.3">
      <c r="A52" s="51" t="s">
        <v>192</v>
      </c>
      <c r="B52" s="46"/>
      <c r="C52" s="46"/>
      <c r="D52" s="46"/>
      <c r="E52" s="46"/>
      <c r="F52" s="46"/>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row>
    <row r="53" spans="1:47" s="62" customFormat="1" ht="12" customHeight="1" x14ac:dyDescent="0.3">
      <c r="A53" s="51" t="s">
        <v>175</v>
      </c>
      <c r="B53" s="64">
        <v>3000</v>
      </c>
      <c r="C53" s="64">
        <v>3000</v>
      </c>
      <c r="D53" s="64">
        <v>3000</v>
      </c>
      <c r="E53" s="64">
        <v>3000</v>
      </c>
      <c r="F53" s="64">
        <v>1618</v>
      </c>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row>
    <row r="54" spans="1:47" s="62" customFormat="1" ht="12" customHeight="1" x14ac:dyDescent="0.3">
      <c r="A54" s="51" t="s">
        <v>227</v>
      </c>
      <c r="B54" s="64">
        <v>8000</v>
      </c>
      <c r="C54" s="64">
        <v>8000</v>
      </c>
      <c r="D54" s="64">
        <v>8000</v>
      </c>
      <c r="E54" s="64">
        <v>8000</v>
      </c>
      <c r="F54" s="64">
        <v>6704</v>
      </c>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row>
    <row r="55" spans="1:47" s="62" customFormat="1" ht="12" customHeight="1" x14ac:dyDescent="0.3">
      <c r="A55" s="51" t="s">
        <v>176</v>
      </c>
      <c r="B55" s="64">
        <v>0</v>
      </c>
      <c r="C55" s="64">
        <v>20000</v>
      </c>
      <c r="D55" s="64">
        <v>20000</v>
      </c>
      <c r="E55" s="64">
        <v>0</v>
      </c>
      <c r="F55" s="64"/>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row>
    <row r="56" spans="1:47" s="62" customFormat="1" ht="12" customHeight="1" x14ac:dyDescent="0.3">
      <c r="A56" s="51" t="s">
        <v>215</v>
      </c>
      <c r="B56" s="64">
        <v>5000</v>
      </c>
      <c r="C56" s="64">
        <v>5000</v>
      </c>
      <c r="D56" s="64">
        <v>5000</v>
      </c>
      <c r="E56" s="64">
        <v>5000</v>
      </c>
      <c r="F56" s="64">
        <v>5100</v>
      </c>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row>
    <row r="57" spans="1:47" s="62" customFormat="1" ht="12" customHeight="1" x14ac:dyDescent="0.3">
      <c r="A57" s="51" t="s">
        <v>177</v>
      </c>
      <c r="B57" s="64">
        <v>500</v>
      </c>
      <c r="C57" s="64">
        <v>500</v>
      </c>
      <c r="D57" s="64">
        <v>500</v>
      </c>
      <c r="E57" s="64">
        <v>500</v>
      </c>
      <c r="F57" s="64"/>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row>
    <row r="58" spans="1:47" s="62" customFormat="1" ht="12" customHeight="1" x14ac:dyDescent="0.3">
      <c r="A58" s="51" t="s">
        <v>178</v>
      </c>
      <c r="B58" s="64">
        <v>10000</v>
      </c>
      <c r="C58" s="64">
        <v>10000</v>
      </c>
      <c r="D58" s="64">
        <v>10000</v>
      </c>
      <c r="E58" s="64">
        <v>10000</v>
      </c>
      <c r="F58" s="64">
        <v>3758</v>
      </c>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row>
    <row r="59" spans="1:47" s="62" customFormat="1" ht="12" customHeight="1" x14ac:dyDescent="0.3">
      <c r="A59" s="51" t="s">
        <v>179</v>
      </c>
      <c r="B59" s="64">
        <v>18000</v>
      </c>
      <c r="C59" s="64">
        <v>18000</v>
      </c>
      <c r="D59" s="64">
        <v>18000</v>
      </c>
      <c r="E59" s="64">
        <v>18000</v>
      </c>
      <c r="F59" s="64"/>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row>
    <row r="60" spans="1:47" s="62" customFormat="1" ht="12" customHeight="1" x14ac:dyDescent="0.3">
      <c r="A60" s="51" t="s">
        <v>191</v>
      </c>
      <c r="B60" s="64">
        <v>25000</v>
      </c>
      <c r="C60" s="64">
        <v>25000</v>
      </c>
      <c r="D60" s="64">
        <v>25000</v>
      </c>
      <c r="E60" s="64">
        <v>25000</v>
      </c>
      <c r="F60" s="64">
        <v>19250</v>
      </c>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row>
    <row r="61" spans="1:47" s="62" customFormat="1" ht="12" customHeight="1" x14ac:dyDescent="0.3">
      <c r="A61" s="51" t="s">
        <v>235</v>
      </c>
      <c r="B61" s="64">
        <v>50000</v>
      </c>
      <c r="C61" s="64">
        <v>50000</v>
      </c>
      <c r="D61" s="64">
        <v>50000</v>
      </c>
      <c r="E61" s="64">
        <v>50000</v>
      </c>
      <c r="F61" s="64">
        <v>34561</v>
      </c>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row>
    <row r="62" spans="1:47" s="62" customFormat="1" ht="12" customHeight="1" x14ac:dyDescent="0.3">
      <c r="A62" s="51" t="s">
        <v>246</v>
      </c>
      <c r="B62" s="51">
        <v>8000</v>
      </c>
      <c r="C62" s="51">
        <v>8000</v>
      </c>
      <c r="D62" s="51">
        <v>8000</v>
      </c>
      <c r="E62" s="51">
        <v>8000</v>
      </c>
      <c r="F62" s="51">
        <v>3601</v>
      </c>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row>
    <row r="63" spans="1:47" s="62" customFormat="1" ht="12" customHeight="1" x14ac:dyDescent="0.3">
      <c r="A63" s="51" t="s">
        <v>340</v>
      </c>
      <c r="B63" s="51">
        <v>0</v>
      </c>
      <c r="C63" s="51">
        <v>124374</v>
      </c>
      <c r="D63" s="51">
        <v>124374</v>
      </c>
      <c r="E63" s="51">
        <v>75000</v>
      </c>
      <c r="F63" s="51">
        <v>73371</v>
      </c>
      <c r="G63" s="51" t="s">
        <v>357</v>
      </c>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row>
    <row r="64" spans="1:47" s="62" customFormat="1" ht="15" customHeight="1" x14ac:dyDescent="0.3">
      <c r="A64" s="51" t="s">
        <v>268</v>
      </c>
      <c r="B64" s="66">
        <v>30000</v>
      </c>
      <c r="C64" s="66">
        <v>30000</v>
      </c>
      <c r="D64" s="66">
        <v>30000</v>
      </c>
      <c r="E64" s="66">
        <v>30000</v>
      </c>
      <c r="F64" s="66">
        <v>28418</v>
      </c>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row>
    <row r="65" spans="1:47" s="62" customFormat="1" ht="13.5" customHeight="1" x14ac:dyDescent="0.3">
      <c r="A65" s="51" t="s">
        <v>186</v>
      </c>
      <c r="B65" s="128">
        <f>SUM(B53:B64)</f>
        <v>157500</v>
      </c>
      <c r="C65" s="128">
        <f>SUM(C53:C64)</f>
        <v>301874</v>
      </c>
      <c r="D65" s="128">
        <f>SUM(D53:D64)</f>
        <v>301874</v>
      </c>
      <c r="E65" s="128">
        <f>SUM(E53:E64)</f>
        <v>232500</v>
      </c>
      <c r="F65" s="128">
        <f>SUM(F53:F64)</f>
        <v>176381</v>
      </c>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row>
    <row r="66" spans="1:47" s="65" customFormat="1" ht="15" customHeight="1" x14ac:dyDescent="0.3">
      <c r="A66" s="62" t="s">
        <v>41</v>
      </c>
      <c r="B66" s="62" t="e">
        <f>+B65+B48+B46+B50</f>
        <v>#REF!</v>
      </c>
      <c r="C66" s="62" t="e">
        <f>+C65+C48+C46+C50</f>
        <v>#REF!</v>
      </c>
      <c r="D66" s="62" t="e">
        <f>+D65+D48+D46+D50</f>
        <v>#REF!</v>
      </c>
      <c r="E66" s="62">
        <f>+E65+E48+E46</f>
        <v>522991</v>
      </c>
      <c r="F66" s="62" t="e">
        <f>+F65+F48+F46+#REF!</f>
        <v>#REF!</v>
      </c>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row>
    <row r="67" spans="1:47" ht="8.25" customHeight="1" x14ac:dyDescent="0.3">
      <c r="A67" s="62"/>
      <c r="B67" s="46"/>
      <c r="C67" s="46"/>
      <c r="D67" s="46"/>
      <c r="E67" s="46"/>
      <c r="F67" s="46"/>
    </row>
    <row r="68" spans="1:47" ht="12" customHeight="1" x14ac:dyDescent="0.3">
      <c r="A68" s="248" t="s">
        <v>20</v>
      </c>
      <c r="B68" s="249"/>
      <c r="C68" s="249"/>
      <c r="D68" s="249"/>
      <c r="E68" s="52"/>
      <c r="F68" s="52"/>
    </row>
    <row r="69" spans="1:47" ht="12" customHeight="1" x14ac:dyDescent="0.3">
      <c r="A69" s="58" t="s">
        <v>388</v>
      </c>
      <c r="B69" s="57" t="e">
        <f>+#REF!+#REF!+#REF!+#REF!+#REF!+#REF!+#REF!+#REF!</f>
        <v>#REF!</v>
      </c>
      <c r="C69" s="57" t="e">
        <f>+#REF!+#REF!+#REF!+#REF!+#REF!+#REF!+#REF!+#REF!</f>
        <v>#REF!</v>
      </c>
      <c r="D69" s="57" t="e">
        <f>+#REF!+#REF!+#REF!+#REF!+#REF!+#REF!+#REF!+#REF!</f>
        <v>#REF!</v>
      </c>
    </row>
    <row r="70" spans="1:47" ht="12" customHeight="1" x14ac:dyDescent="0.3">
      <c r="A70" s="58" t="s">
        <v>271</v>
      </c>
      <c r="B70" s="63" t="e">
        <f>+#REF!</f>
        <v>#REF!</v>
      </c>
      <c r="C70" s="63" t="e">
        <f>+#REF!</f>
        <v>#REF!</v>
      </c>
      <c r="D70" s="63" t="e">
        <f>+#REF!</f>
        <v>#REF!</v>
      </c>
      <c r="E70" s="63">
        <v>69740</v>
      </c>
      <c r="F70" s="63">
        <v>57457</v>
      </c>
      <c r="G70" s="51" t="e">
        <f>#REF!-11498</f>
        <v>#REF!</v>
      </c>
    </row>
    <row r="71" spans="1:47" s="53" customFormat="1" ht="12.75" customHeight="1" x14ac:dyDescent="0.3">
      <c r="A71" s="62" t="s">
        <v>92</v>
      </c>
      <c r="B71" s="62" t="e">
        <f>SUM(B69:B70)</f>
        <v>#REF!</v>
      </c>
      <c r="C71" s="62" t="e">
        <f>SUM(C69:C70)</f>
        <v>#REF!</v>
      </c>
      <c r="D71" s="62" t="e">
        <f>SUM(D69:D70)</f>
        <v>#REF!</v>
      </c>
      <c r="E71" s="62">
        <f>SUM(E70:E70)</f>
        <v>69740</v>
      </c>
      <c r="F71" s="62">
        <f>SUM(F70:F70)</f>
        <v>57457</v>
      </c>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row>
    <row r="72" spans="1:47" ht="9.75" customHeight="1" x14ac:dyDescent="0.3">
      <c r="B72" s="51"/>
      <c r="C72" s="51"/>
      <c r="D72" s="51"/>
      <c r="E72" s="51"/>
      <c r="F72" s="51"/>
    </row>
    <row r="73" spans="1:47" ht="12" customHeight="1" x14ac:dyDescent="0.3">
      <c r="A73" s="248" t="s">
        <v>94</v>
      </c>
      <c r="B73" s="248"/>
      <c r="C73" s="248"/>
      <c r="D73" s="248"/>
      <c r="E73" s="52"/>
      <c r="F73" s="52"/>
    </row>
    <row r="74" spans="1:47" s="51" customFormat="1" ht="12" customHeight="1" x14ac:dyDescent="0.3">
      <c r="A74" s="58" t="s">
        <v>388</v>
      </c>
      <c r="B74" s="51" t="e">
        <f>+#REF!+#REF!+#REF!+#REF!</f>
        <v>#REF!</v>
      </c>
      <c r="C74" s="51" t="e">
        <f>+#REF!+#REF!+#REF!+#REF!</f>
        <v>#REF!</v>
      </c>
      <c r="D74" s="51" t="e">
        <f>+#REF!+#REF!+#REF!+#REF!</f>
        <v>#REF!</v>
      </c>
      <c r="E74" s="51">
        <v>180297</v>
      </c>
      <c r="F74" s="51">
        <v>143802</v>
      </c>
    </row>
    <row r="75" spans="1:47" ht="12" customHeight="1" x14ac:dyDescent="0.3">
      <c r="A75" s="57" t="s">
        <v>7</v>
      </c>
      <c r="B75" s="51" t="e">
        <f>+#REF!</f>
        <v>#REF!</v>
      </c>
      <c r="C75" s="51" t="e">
        <f>+#REF!</f>
        <v>#REF!</v>
      </c>
      <c r="D75" s="51" t="e">
        <f>+#REF!</f>
        <v>#REF!</v>
      </c>
      <c r="E75" s="51">
        <v>12000</v>
      </c>
      <c r="F75" s="51">
        <v>8990</v>
      </c>
    </row>
    <row r="76" spans="1:47" ht="12" customHeight="1" x14ac:dyDescent="0.3">
      <c r="A76" s="57" t="s">
        <v>43</v>
      </c>
      <c r="B76" s="51" t="e">
        <f>+#REF!</f>
        <v>#REF!</v>
      </c>
      <c r="C76" s="51" t="e">
        <f>+#REF!</f>
        <v>#REF!</v>
      </c>
      <c r="D76" s="51" t="e">
        <f>+#REF!</f>
        <v>#REF!</v>
      </c>
      <c r="E76" s="51">
        <v>20000</v>
      </c>
      <c r="F76" s="51">
        <v>15583</v>
      </c>
    </row>
    <row r="77" spans="1:47" ht="12" customHeight="1" x14ac:dyDescent="0.3">
      <c r="A77" s="57" t="s">
        <v>213</v>
      </c>
      <c r="B77" s="51" t="e">
        <f>+#REF!</f>
        <v>#REF!</v>
      </c>
      <c r="C77" s="51" t="e">
        <f>+#REF!</f>
        <v>#REF!</v>
      </c>
      <c r="D77" s="51" t="e">
        <f>+#REF!</f>
        <v>#REF!</v>
      </c>
      <c r="E77" s="51">
        <v>10000</v>
      </c>
      <c r="F77" s="51">
        <v>1360</v>
      </c>
    </row>
    <row r="78" spans="1:47" ht="12" customHeight="1" x14ac:dyDescent="0.3">
      <c r="A78" s="57" t="s">
        <v>57</v>
      </c>
      <c r="B78" s="57" t="e">
        <f>+#REF!</f>
        <v>#REF!</v>
      </c>
      <c r="C78" s="57" t="e">
        <f>+#REF!</f>
        <v>#REF!</v>
      </c>
      <c r="D78" s="57" t="e">
        <f>+#REF!</f>
        <v>#REF!</v>
      </c>
      <c r="E78" s="57">
        <v>1500</v>
      </c>
      <c r="F78" s="57">
        <v>577</v>
      </c>
    </row>
    <row r="79" spans="1:47" ht="12" customHeight="1" x14ac:dyDescent="0.3">
      <c r="A79" s="51" t="s">
        <v>58</v>
      </c>
      <c r="B79" s="63" t="e">
        <f>+#REF!</f>
        <v>#REF!</v>
      </c>
      <c r="C79" s="63" t="e">
        <f>+#REF!</f>
        <v>#REF!</v>
      </c>
      <c r="D79" s="63" t="e">
        <f>+#REF!</f>
        <v>#REF!</v>
      </c>
      <c r="E79" s="63">
        <v>300</v>
      </c>
      <c r="F79" s="63"/>
    </row>
    <row r="80" spans="1:47" s="53" customFormat="1" ht="12" customHeight="1" x14ac:dyDescent="0.3">
      <c r="A80" s="62" t="s">
        <v>32</v>
      </c>
      <c r="B80" s="62" t="e">
        <f>SUM(B74:B79)</f>
        <v>#REF!</v>
      </c>
      <c r="C80" s="62" t="e">
        <f>SUM(C74:C79)</f>
        <v>#REF!</v>
      </c>
      <c r="D80" s="62" t="e">
        <f>SUM(D74:D79)</f>
        <v>#REF!</v>
      </c>
      <c r="E80" s="62">
        <f>SUM(E74:E79)</f>
        <v>224097</v>
      </c>
      <c r="F80" s="62">
        <f>SUM(F74:F79)</f>
        <v>170312</v>
      </c>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row>
    <row r="81" spans="1:47" ht="9.75" customHeight="1" x14ac:dyDescent="0.3">
      <c r="B81" s="51"/>
      <c r="C81" s="51"/>
      <c r="D81" s="51"/>
      <c r="E81" s="51"/>
      <c r="F81" s="51"/>
    </row>
    <row r="82" spans="1:47" ht="12" customHeight="1" x14ac:dyDescent="0.3">
      <c r="A82" s="248" t="s">
        <v>93</v>
      </c>
      <c r="B82" s="249"/>
      <c r="C82" s="249"/>
      <c r="D82" s="249"/>
      <c r="E82" s="52"/>
      <c r="F82" s="52"/>
    </row>
    <row r="83" spans="1:47" ht="12" customHeight="1" x14ac:dyDescent="0.3">
      <c r="A83" s="58" t="s">
        <v>388</v>
      </c>
      <c r="B83" s="63" t="e">
        <f>+#REF!+#REF!+#REF!+#REF!</f>
        <v>#REF!</v>
      </c>
      <c r="C83" s="63" t="e">
        <f>+#REF!+#REF!+#REF!+#REF!</f>
        <v>#REF!</v>
      </c>
      <c r="D83" s="63" t="e">
        <f>+#REF!+#REF!+#REF!+#REF!</f>
        <v>#REF!</v>
      </c>
      <c r="E83" s="51">
        <v>163105</v>
      </c>
      <c r="F83" s="51">
        <v>139015</v>
      </c>
    </row>
    <row r="84" spans="1:47" s="53" customFormat="1" ht="12" customHeight="1" x14ac:dyDescent="0.3">
      <c r="A84" s="60" t="s">
        <v>33</v>
      </c>
      <c r="B84" s="60" t="e">
        <f>SUM(B83)</f>
        <v>#REF!</v>
      </c>
      <c r="C84" s="60" t="e">
        <f>SUM(C83)</f>
        <v>#REF!</v>
      </c>
      <c r="D84" s="60" t="e">
        <f>SUM(D83)</f>
        <v>#REF!</v>
      </c>
      <c r="E84" s="60">
        <f>SUM(E83:E83)</f>
        <v>163105</v>
      </c>
      <c r="F84" s="60">
        <f>SUM(F83:F83)</f>
        <v>139015</v>
      </c>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row>
    <row r="85" spans="1:47" ht="9.75" customHeight="1" x14ac:dyDescent="0.3">
      <c r="B85" s="51"/>
      <c r="C85" s="51"/>
      <c r="D85" s="51"/>
      <c r="E85" s="51"/>
      <c r="F85" s="51"/>
    </row>
    <row r="86" spans="1:47" ht="12" customHeight="1" x14ac:dyDescent="0.3">
      <c r="A86" s="248" t="s">
        <v>236</v>
      </c>
      <c r="B86" s="249"/>
      <c r="C86" s="249"/>
      <c r="D86" s="249"/>
      <c r="E86" s="52"/>
      <c r="F86" s="52"/>
    </row>
    <row r="87" spans="1:47" s="51" customFormat="1" ht="16.5" customHeight="1" x14ac:dyDescent="0.3">
      <c r="A87" s="58" t="s">
        <v>388</v>
      </c>
      <c r="B87" s="51" t="e">
        <f>+#REF!+#REF!+#REF!+#REF!</f>
        <v>#REF!</v>
      </c>
      <c r="C87" s="51" t="e">
        <f>+#REF!+#REF!+#REF!+#REF!</f>
        <v>#REF!</v>
      </c>
      <c r="D87" s="51" t="e">
        <f>+#REF!+#REF!+#REF!+#REF!</f>
        <v>#REF!</v>
      </c>
      <c r="E87" s="51">
        <v>40000</v>
      </c>
      <c r="F87" s="51">
        <v>22405</v>
      </c>
    </row>
    <row r="88" spans="1:47" ht="12" customHeight="1" x14ac:dyDescent="0.3">
      <c r="A88" s="57" t="s">
        <v>237</v>
      </c>
      <c r="B88" s="51" t="e">
        <f>+#REF!</f>
        <v>#REF!</v>
      </c>
      <c r="C88" s="51" t="e">
        <f>+#REF!</f>
        <v>#REF!</v>
      </c>
      <c r="D88" s="51" t="e">
        <f>+#REF!</f>
        <v>#REF!</v>
      </c>
      <c r="E88" s="51">
        <v>25000</v>
      </c>
      <c r="F88" s="51">
        <v>8120</v>
      </c>
    </row>
    <row r="89" spans="1:47" ht="12" customHeight="1" x14ac:dyDescent="0.3">
      <c r="A89" s="57" t="s">
        <v>238</v>
      </c>
      <c r="B89" s="63" t="e">
        <f>+#REF!</f>
        <v>#REF!</v>
      </c>
      <c r="C89" s="63" t="e">
        <f>+#REF!</f>
        <v>#REF!</v>
      </c>
      <c r="D89" s="63" t="e">
        <f>+#REF!</f>
        <v>#REF!</v>
      </c>
      <c r="E89" s="63">
        <v>40000</v>
      </c>
      <c r="F89" s="63">
        <v>23889</v>
      </c>
    </row>
    <row r="90" spans="1:47" s="62" customFormat="1" ht="12" customHeight="1" x14ac:dyDescent="0.3">
      <c r="A90" s="60" t="s">
        <v>239</v>
      </c>
      <c r="B90" s="60" t="e">
        <f>SUM(B87:B89)</f>
        <v>#REF!</v>
      </c>
      <c r="C90" s="60" t="e">
        <f>SUM(C87:C89)</f>
        <v>#REF!</v>
      </c>
      <c r="D90" s="60" t="e">
        <f>SUM(D87:D89)</f>
        <v>#REF!</v>
      </c>
      <c r="E90" s="60">
        <f>SUM(E87:E89)</f>
        <v>105000</v>
      </c>
      <c r="F90" s="60">
        <f>SUM(F87:F89)</f>
        <v>54414</v>
      </c>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row>
    <row r="91" spans="1:47" ht="9.75" customHeight="1" x14ac:dyDescent="0.3">
      <c r="B91" s="51"/>
      <c r="C91" s="51"/>
      <c r="D91" s="51"/>
      <c r="E91" s="51"/>
      <c r="F91" s="51"/>
    </row>
    <row r="92" spans="1:47" ht="12" customHeight="1" x14ac:dyDescent="0.3">
      <c r="A92" s="248" t="s">
        <v>53</v>
      </c>
      <c r="B92" s="249"/>
      <c r="C92" s="249"/>
      <c r="D92" s="249"/>
      <c r="E92" s="52"/>
      <c r="F92" s="52"/>
    </row>
    <row r="93" spans="1:47" ht="12" customHeight="1" x14ac:dyDescent="0.3">
      <c r="A93" s="58" t="s">
        <v>388</v>
      </c>
      <c r="B93" s="57" t="e">
        <f>+#REF!+#REF!+#REF!</f>
        <v>#REF!</v>
      </c>
      <c r="C93" s="57" t="e">
        <f>+#REF!+#REF!+#REF!</f>
        <v>#REF!</v>
      </c>
      <c r="D93" s="57" t="e">
        <f>+#REF!+#REF!+#REF!</f>
        <v>#REF!</v>
      </c>
      <c r="E93" s="57">
        <v>7200</v>
      </c>
      <c r="F93" s="57">
        <v>3600</v>
      </c>
    </row>
    <row r="94" spans="1:47" ht="12" customHeight="1" x14ac:dyDescent="0.3">
      <c r="A94" s="58" t="s">
        <v>213</v>
      </c>
      <c r="B94" s="51" t="e">
        <f>+#REF!</f>
        <v>#REF!</v>
      </c>
      <c r="C94" s="51" t="e">
        <f>+#REF!</f>
        <v>#REF!</v>
      </c>
      <c r="D94" s="51" t="e">
        <f>+#REF!</f>
        <v>#REF!</v>
      </c>
      <c r="E94" s="51">
        <v>250000</v>
      </c>
      <c r="F94" s="51">
        <v>145200</v>
      </c>
    </row>
    <row r="95" spans="1:47" ht="12" customHeight="1" x14ac:dyDescent="0.3">
      <c r="A95" s="57" t="s">
        <v>48</v>
      </c>
      <c r="B95" s="51" t="e">
        <f>+#REF!</f>
        <v>#REF!</v>
      </c>
      <c r="C95" s="51" t="e">
        <f>+#REF!</f>
        <v>#REF!</v>
      </c>
      <c r="D95" s="51" t="e">
        <f>+#REF!</f>
        <v>#REF!</v>
      </c>
      <c r="E95" s="51">
        <v>16000</v>
      </c>
      <c r="F95" s="51">
        <v>16128</v>
      </c>
    </row>
    <row r="96" spans="1:47" ht="12" customHeight="1" x14ac:dyDescent="0.3">
      <c r="A96" s="57" t="s">
        <v>219</v>
      </c>
      <c r="B96" s="51" t="e">
        <f>+#REF!</f>
        <v>#REF!</v>
      </c>
      <c r="C96" s="51" t="e">
        <f>+#REF!</f>
        <v>#REF!</v>
      </c>
      <c r="D96" s="51" t="e">
        <f>+#REF!</f>
        <v>#REF!</v>
      </c>
      <c r="E96" s="51">
        <v>5457</v>
      </c>
      <c r="F96" s="51">
        <v>5124</v>
      </c>
    </row>
    <row r="97" spans="1:47" ht="12" customHeight="1" x14ac:dyDescent="0.3">
      <c r="A97" s="57" t="s">
        <v>13</v>
      </c>
      <c r="B97" s="51" t="e">
        <f>+#REF!</f>
        <v>#REF!</v>
      </c>
      <c r="C97" s="51" t="e">
        <f>+#REF!</f>
        <v>#REF!</v>
      </c>
      <c r="D97" s="51" t="e">
        <f>+#REF!</f>
        <v>#REF!</v>
      </c>
      <c r="E97" s="51">
        <v>28000</v>
      </c>
      <c r="F97" s="51">
        <v>21419</v>
      </c>
    </row>
    <row r="98" spans="1:47" ht="12" customHeight="1" x14ac:dyDescent="0.3">
      <c r="A98" s="57" t="s">
        <v>64</v>
      </c>
      <c r="B98" s="51" t="e">
        <f>+#REF!</f>
        <v>#REF!</v>
      </c>
      <c r="C98" s="51" t="e">
        <f>+#REF!</f>
        <v>#REF!</v>
      </c>
      <c r="D98" s="51" t="e">
        <f>+#REF!</f>
        <v>#REF!</v>
      </c>
      <c r="E98" s="51">
        <v>60000</v>
      </c>
      <c r="F98" s="51">
        <v>38986</v>
      </c>
    </row>
    <row r="99" spans="1:47" s="62" customFormat="1" ht="12" customHeight="1" x14ac:dyDescent="0.3">
      <c r="A99" s="57" t="s">
        <v>12</v>
      </c>
      <c r="B99" s="63" t="e">
        <f>+#REF!</f>
        <v>#REF!</v>
      </c>
      <c r="C99" s="63" t="e">
        <f>+#REF!</f>
        <v>#REF!</v>
      </c>
      <c r="D99" s="63" t="e">
        <f>+#REF!</f>
        <v>#REF!</v>
      </c>
      <c r="E99" s="63">
        <v>15000</v>
      </c>
      <c r="F99" s="63">
        <v>3252</v>
      </c>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row>
    <row r="100" spans="1:47" s="53" customFormat="1" ht="12" customHeight="1" x14ac:dyDescent="0.3">
      <c r="A100" s="62" t="s">
        <v>34</v>
      </c>
      <c r="B100" s="67" t="e">
        <f>SUM(B93:B99)</f>
        <v>#REF!</v>
      </c>
      <c r="C100" s="67" t="e">
        <f>SUM(C93:C99)</f>
        <v>#REF!</v>
      </c>
      <c r="D100" s="67" t="e">
        <f>SUM(D93:D99)</f>
        <v>#REF!</v>
      </c>
      <c r="E100" s="67">
        <f>SUM(E93:E99)</f>
        <v>381657</v>
      </c>
      <c r="F100" s="67">
        <f>SUM(F93:F99)</f>
        <v>233709</v>
      </c>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row>
    <row r="101" spans="1:47" ht="12" customHeight="1" x14ac:dyDescent="0.3">
      <c r="B101" s="58"/>
      <c r="C101" s="58"/>
      <c r="D101" s="58"/>
      <c r="E101" s="58"/>
      <c r="F101" s="58"/>
    </row>
    <row r="102" spans="1:47" ht="12" customHeight="1" x14ac:dyDescent="0.3">
      <c r="A102" s="248" t="s">
        <v>54</v>
      </c>
      <c r="B102" s="252" t="e">
        <f>+B100+B84+B80+B71+B66+B39+B35+B30+B90</f>
        <v>#REF!</v>
      </c>
      <c r="C102" s="252" t="e">
        <f>+C100+C84+C80+C71+C66+C39+C35+C30+C90</f>
        <v>#REF!</v>
      </c>
      <c r="D102" s="252" t="e">
        <f>+D100+D84+D80+D71+D66+D39+D35+D30+D90</f>
        <v>#REF!</v>
      </c>
      <c r="E102" s="68" t="e">
        <f>+E100+E84+E80+E71+E66+E39+E35+E30+E90</f>
        <v>#REF!</v>
      </c>
      <c r="F102" s="68" t="e">
        <f>+F100+F84+F80+F71+F66+F39+F35+F30+F90</f>
        <v>#REF!</v>
      </c>
    </row>
    <row r="103" spans="1:47" s="58" customFormat="1" ht="7.5" customHeight="1" x14ac:dyDescent="0.3">
      <c r="A103" s="57"/>
      <c r="B103" s="51" t="s">
        <v>15</v>
      </c>
      <c r="C103" s="51" t="s">
        <v>15</v>
      </c>
      <c r="D103" s="51" t="s">
        <v>15</v>
      </c>
      <c r="E103" s="51" t="s">
        <v>15</v>
      </c>
      <c r="F103" s="51" t="s">
        <v>15</v>
      </c>
    </row>
    <row r="104" spans="1:47" s="60" customFormat="1" ht="27.75" customHeight="1" x14ac:dyDescent="0.3">
      <c r="A104" s="248" t="s">
        <v>190</v>
      </c>
      <c r="B104" s="251" t="e">
        <f>+B11-B102</f>
        <v>#REF!</v>
      </c>
      <c r="C104" s="251" t="e">
        <f>+C11-C102</f>
        <v>#REF!</v>
      </c>
      <c r="D104" s="251" t="e">
        <f>+D11-D102</f>
        <v>#REF!</v>
      </c>
      <c r="E104" s="61" t="e">
        <f>+E11-E102</f>
        <v>#REF!</v>
      </c>
      <c r="F104" s="61" t="e">
        <f>+F11-F102</f>
        <v>#REF!</v>
      </c>
      <c r="G104" s="2" t="s">
        <v>15</v>
      </c>
    </row>
    <row r="105" spans="1:47" s="125" customFormat="1" ht="12" customHeight="1" x14ac:dyDescent="0.3">
      <c r="A105" s="62"/>
      <c r="B105" s="60"/>
      <c r="C105" s="60"/>
      <c r="D105" s="60"/>
      <c r="E105" s="60"/>
      <c r="F105" s="60"/>
    </row>
    <row r="106" spans="1:47" s="62" customFormat="1" ht="12" customHeight="1" x14ac:dyDescent="0.3">
      <c r="A106" s="60" t="s">
        <v>210</v>
      </c>
      <c r="B106" s="128">
        <v>117410</v>
      </c>
      <c r="C106" s="128">
        <v>629178</v>
      </c>
      <c r="D106" s="128">
        <v>629178</v>
      </c>
      <c r="E106" s="68">
        <v>465051</v>
      </c>
      <c r="F106" s="68">
        <v>634902</v>
      </c>
      <c r="G106" s="60" t="s">
        <v>356</v>
      </c>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row>
    <row r="107" spans="1:47" s="125" customFormat="1" ht="7.5" customHeight="1" x14ac:dyDescent="0.3">
      <c r="A107" s="60"/>
      <c r="B107" s="60"/>
      <c r="C107" s="60"/>
      <c r="D107" s="60"/>
      <c r="E107" s="60"/>
      <c r="F107" s="60"/>
    </row>
    <row r="108" spans="1:47" s="62" customFormat="1" ht="18" customHeight="1" thickBot="1" x14ac:dyDescent="0.35">
      <c r="A108" s="60" t="s">
        <v>337</v>
      </c>
      <c r="B108" s="234" t="e">
        <f>SUM(B104:B106)</f>
        <v>#REF!</v>
      </c>
      <c r="C108" s="234" t="e">
        <f>SUM(C104:C106)</f>
        <v>#REF!</v>
      </c>
      <c r="D108" s="234" t="e">
        <f>SUM(D104:D106)</f>
        <v>#REF!</v>
      </c>
      <c r="E108" s="59" t="e">
        <f>SUM(E104:E106)</f>
        <v>#REF!</v>
      </c>
      <c r="F108" s="59" t="e">
        <f>SUM(F104:F106)</f>
        <v>#REF!</v>
      </c>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row>
    <row r="109" spans="1:47" ht="12" customHeight="1" thickTop="1" x14ac:dyDescent="0.3">
      <c r="A109" s="51"/>
      <c r="B109" s="51"/>
      <c r="C109" s="51"/>
      <c r="D109" s="51"/>
    </row>
    <row r="110" spans="1:47" s="69" customFormat="1" ht="12" customHeight="1" x14ac:dyDescent="0.3">
      <c r="A110" s="57"/>
      <c r="B110" s="51"/>
      <c r="C110" s="51"/>
      <c r="D110" s="51"/>
      <c r="E110" s="51"/>
      <c r="F110" s="51"/>
    </row>
    <row r="111" spans="1:47" s="69" customFormat="1" ht="12" customHeight="1" x14ac:dyDescent="0.3">
      <c r="A111" s="57"/>
      <c r="B111" s="51"/>
      <c r="C111" s="51"/>
      <c r="D111" s="51"/>
      <c r="E111" s="51"/>
      <c r="F111" s="51"/>
    </row>
    <row r="112" spans="1:47" s="69" customFormat="1" ht="12" customHeight="1" x14ac:dyDescent="0.3">
      <c r="A112" s="57"/>
      <c r="B112" s="51"/>
      <c r="C112" s="51"/>
      <c r="D112" s="51"/>
      <c r="E112" s="51"/>
      <c r="F112" s="51"/>
    </row>
    <row r="113" spans="1:6" s="69" customFormat="1" ht="12" customHeight="1" x14ac:dyDescent="0.3">
      <c r="A113" s="57"/>
      <c r="B113" s="51"/>
      <c r="C113" s="51"/>
      <c r="D113" s="51"/>
      <c r="E113" s="51"/>
      <c r="F113" s="51"/>
    </row>
    <row r="114" spans="1:6" s="69" customFormat="1" ht="12" customHeight="1" x14ac:dyDescent="0.3">
      <c r="A114" s="57"/>
      <c r="B114" s="51"/>
      <c r="C114" s="51"/>
      <c r="D114" s="51"/>
      <c r="E114" s="51"/>
      <c r="F114" s="51"/>
    </row>
    <row r="115" spans="1:6" s="69" customFormat="1" ht="12" customHeight="1" x14ac:dyDescent="0.3">
      <c r="A115" s="57"/>
      <c r="B115" s="51"/>
      <c r="C115" s="51"/>
      <c r="D115" s="51"/>
      <c r="E115" s="51"/>
      <c r="F115" s="51"/>
    </row>
    <row r="116" spans="1:6" s="69" customFormat="1" ht="12" customHeight="1" x14ac:dyDescent="0.3">
      <c r="A116" s="57"/>
      <c r="B116" s="51" t="s">
        <v>15</v>
      </c>
      <c r="C116" s="51"/>
      <c r="D116" s="51" t="s">
        <v>15</v>
      </c>
      <c r="E116" s="51" t="s">
        <v>15</v>
      </c>
      <c r="F116" s="51" t="s">
        <v>15</v>
      </c>
    </row>
    <row r="117" spans="1:6" s="69" customFormat="1" ht="12" customHeight="1" x14ac:dyDescent="0.3">
      <c r="A117" s="57"/>
      <c r="B117" s="51"/>
      <c r="C117" s="51"/>
      <c r="D117" s="51"/>
      <c r="E117" s="51"/>
      <c r="F117" s="51"/>
    </row>
    <row r="118" spans="1:6" s="69" customFormat="1" ht="12" customHeight="1" x14ac:dyDescent="0.3">
      <c r="A118" s="57"/>
      <c r="B118" s="51"/>
      <c r="C118" s="51"/>
      <c r="D118" s="51"/>
      <c r="E118" s="51"/>
      <c r="F118" s="51"/>
    </row>
    <row r="119" spans="1:6" s="69" customFormat="1" ht="12" customHeight="1" x14ac:dyDescent="0.3">
      <c r="A119" s="57"/>
      <c r="B119" s="51"/>
      <c r="C119" s="51"/>
      <c r="D119" s="51"/>
      <c r="E119" s="51"/>
      <c r="F119" s="51"/>
    </row>
    <row r="120" spans="1:6" s="69" customFormat="1" ht="12" customHeight="1" x14ac:dyDescent="0.3">
      <c r="A120" s="57"/>
      <c r="B120" s="51"/>
      <c r="C120" s="51"/>
      <c r="D120" s="51"/>
      <c r="E120" s="51"/>
      <c r="F120" s="51"/>
    </row>
    <row r="121" spans="1:6" s="69" customFormat="1" ht="12" customHeight="1" x14ac:dyDescent="0.3">
      <c r="A121" s="57"/>
      <c r="B121" s="51"/>
      <c r="C121" s="51"/>
      <c r="D121" s="51"/>
      <c r="E121" s="51"/>
      <c r="F121" s="51"/>
    </row>
    <row r="122" spans="1:6" s="69" customFormat="1" ht="12" customHeight="1" x14ac:dyDescent="0.3">
      <c r="A122" s="57"/>
      <c r="B122" s="51"/>
      <c r="C122" s="51"/>
      <c r="D122" s="51"/>
      <c r="E122" s="51"/>
      <c r="F122" s="51"/>
    </row>
    <row r="123" spans="1:6" s="69" customFormat="1" ht="12" customHeight="1" x14ac:dyDescent="0.3">
      <c r="A123" s="57"/>
      <c r="B123" s="51"/>
      <c r="C123" s="51"/>
      <c r="D123" s="51"/>
      <c r="E123" s="51"/>
      <c r="F123" s="51"/>
    </row>
    <row r="124" spans="1:6" s="69" customFormat="1" ht="12" customHeight="1" x14ac:dyDescent="0.3">
      <c r="A124" s="57"/>
      <c r="B124" s="51"/>
      <c r="C124" s="51"/>
      <c r="D124" s="51"/>
      <c r="E124" s="51"/>
      <c r="F124" s="51"/>
    </row>
    <row r="125" spans="1:6" s="69" customFormat="1" ht="12" customHeight="1" x14ac:dyDescent="0.3">
      <c r="A125" s="57"/>
      <c r="B125" s="51"/>
      <c r="C125" s="51"/>
      <c r="D125" s="51"/>
      <c r="E125" s="51"/>
      <c r="F125" s="51"/>
    </row>
    <row r="126" spans="1:6" s="69" customFormat="1" ht="12" customHeight="1" x14ac:dyDescent="0.3">
      <c r="A126" s="57"/>
      <c r="B126" s="51"/>
      <c r="C126" s="51"/>
      <c r="D126" s="51"/>
      <c r="E126" s="51"/>
      <c r="F126" s="51"/>
    </row>
    <row r="127" spans="1:6" s="69" customFormat="1" ht="12" customHeight="1" x14ac:dyDescent="0.3">
      <c r="A127" s="57"/>
      <c r="B127" s="51"/>
      <c r="C127" s="51"/>
      <c r="D127" s="51"/>
      <c r="E127" s="51"/>
      <c r="F127" s="51"/>
    </row>
    <row r="128" spans="1:6" s="69" customFormat="1" ht="12" customHeight="1" x14ac:dyDescent="0.3">
      <c r="A128" s="57"/>
      <c r="B128" s="51"/>
      <c r="C128" s="51"/>
      <c r="D128" s="51"/>
      <c r="E128" s="51"/>
      <c r="F128" s="51"/>
    </row>
    <row r="129" spans="1:6" s="69" customFormat="1" ht="12" customHeight="1" x14ac:dyDescent="0.3">
      <c r="A129" s="57"/>
      <c r="B129" s="51"/>
      <c r="C129" s="51"/>
      <c r="D129" s="51"/>
      <c r="E129" s="51"/>
      <c r="F129" s="51"/>
    </row>
    <row r="130" spans="1:6" s="69" customFormat="1" ht="12" customHeight="1" x14ac:dyDescent="0.3">
      <c r="A130" s="57"/>
      <c r="B130" s="51"/>
      <c r="C130" s="51"/>
      <c r="D130" s="51"/>
      <c r="E130" s="51"/>
      <c r="F130" s="51"/>
    </row>
    <row r="131" spans="1:6" s="69" customFormat="1" ht="12" customHeight="1" x14ac:dyDescent="0.3">
      <c r="A131" s="57"/>
      <c r="B131" s="51"/>
      <c r="C131" s="51"/>
      <c r="D131" s="51"/>
      <c r="E131" s="51"/>
      <c r="F131" s="51"/>
    </row>
    <row r="132" spans="1:6" s="69" customFormat="1" ht="12" customHeight="1" x14ac:dyDescent="0.3">
      <c r="A132" s="57"/>
      <c r="B132" s="51"/>
      <c r="C132" s="51"/>
      <c r="D132" s="51"/>
      <c r="E132" s="51"/>
      <c r="F132" s="51"/>
    </row>
    <row r="133" spans="1:6" s="69" customFormat="1" ht="12" customHeight="1" x14ac:dyDescent="0.3">
      <c r="A133" s="57"/>
      <c r="B133" s="51"/>
      <c r="C133" s="51"/>
      <c r="D133" s="51"/>
      <c r="E133" s="51"/>
      <c r="F133" s="51"/>
    </row>
    <row r="134" spans="1:6" s="69" customFormat="1" ht="12" customHeight="1" x14ac:dyDescent="0.3">
      <c r="A134" s="57"/>
      <c r="B134" s="51"/>
      <c r="C134" s="51"/>
      <c r="D134" s="51"/>
      <c r="E134" s="51"/>
      <c r="F134" s="51"/>
    </row>
    <row r="135" spans="1:6" s="69" customFormat="1" ht="12" customHeight="1" x14ac:dyDescent="0.3">
      <c r="A135" s="57"/>
      <c r="B135" s="51"/>
      <c r="C135" s="51"/>
      <c r="D135" s="51"/>
      <c r="E135" s="51"/>
      <c r="F135" s="51"/>
    </row>
    <row r="136" spans="1:6" s="69" customFormat="1" ht="12" customHeight="1" x14ac:dyDescent="0.3">
      <c r="A136" s="57"/>
      <c r="B136" s="51"/>
      <c r="C136" s="51"/>
      <c r="D136" s="51"/>
      <c r="E136" s="51"/>
      <c r="F136" s="51"/>
    </row>
    <row r="137" spans="1:6" s="69" customFormat="1" ht="12" customHeight="1" x14ac:dyDescent="0.3">
      <c r="A137" s="57"/>
      <c r="B137" s="51"/>
      <c r="C137" s="51"/>
      <c r="D137" s="51"/>
      <c r="E137" s="51"/>
      <c r="F137" s="51"/>
    </row>
    <row r="138" spans="1:6" s="69" customFormat="1" ht="12" customHeight="1" x14ac:dyDescent="0.3">
      <c r="A138" s="57"/>
      <c r="B138" s="51"/>
      <c r="C138" s="51"/>
      <c r="D138" s="51"/>
      <c r="E138" s="51"/>
      <c r="F138" s="51"/>
    </row>
    <row r="139" spans="1:6" s="69" customFormat="1" ht="12" customHeight="1" x14ac:dyDescent="0.3">
      <c r="A139" s="57"/>
      <c r="B139" s="51"/>
      <c r="C139" s="51"/>
      <c r="D139" s="51"/>
      <c r="E139" s="51"/>
      <c r="F139" s="51"/>
    </row>
    <row r="140" spans="1:6" s="69" customFormat="1" ht="12" customHeight="1" x14ac:dyDescent="0.3">
      <c r="A140" s="57"/>
      <c r="B140" s="51"/>
      <c r="C140" s="51"/>
      <c r="D140" s="51"/>
      <c r="E140" s="51"/>
      <c r="F140" s="51"/>
    </row>
    <row r="141" spans="1:6" s="69" customFormat="1" ht="12" customHeight="1" x14ac:dyDescent="0.3">
      <c r="A141" s="57"/>
      <c r="B141" s="51"/>
      <c r="C141" s="51"/>
      <c r="D141" s="51"/>
      <c r="E141" s="51"/>
      <c r="F141" s="51"/>
    </row>
    <row r="142" spans="1:6" s="69" customFormat="1" ht="12" customHeight="1" x14ac:dyDescent="0.3">
      <c r="A142" s="57"/>
      <c r="B142" s="51"/>
      <c r="C142" s="51"/>
      <c r="D142" s="51"/>
      <c r="E142" s="51"/>
      <c r="F142" s="51"/>
    </row>
    <row r="143" spans="1:6" s="69" customFormat="1" ht="12" customHeight="1" x14ac:dyDescent="0.3">
      <c r="A143" s="57"/>
      <c r="B143" s="51"/>
      <c r="C143" s="51"/>
      <c r="D143" s="51"/>
      <c r="E143" s="51"/>
      <c r="F143" s="51"/>
    </row>
    <row r="144" spans="1:6" s="69" customFormat="1" ht="12" customHeight="1" x14ac:dyDescent="0.3">
      <c r="A144" s="57"/>
      <c r="B144" s="51"/>
      <c r="C144" s="51"/>
      <c r="D144" s="51"/>
      <c r="E144" s="51"/>
      <c r="F144" s="51"/>
    </row>
    <row r="145" spans="1:6" s="69" customFormat="1" ht="12" customHeight="1" x14ac:dyDescent="0.3">
      <c r="A145" s="57"/>
      <c r="B145" s="51"/>
      <c r="C145" s="51"/>
      <c r="D145" s="51"/>
      <c r="E145" s="51"/>
      <c r="F145" s="51"/>
    </row>
    <row r="146" spans="1:6" s="69" customFormat="1" ht="12" customHeight="1" x14ac:dyDescent="0.3">
      <c r="A146" s="57"/>
      <c r="B146" s="51"/>
      <c r="C146" s="51"/>
      <c r="D146" s="51"/>
      <c r="E146" s="51"/>
      <c r="F146" s="51"/>
    </row>
    <row r="147" spans="1:6" s="69" customFormat="1" ht="12" customHeight="1" x14ac:dyDescent="0.3">
      <c r="A147" s="57"/>
      <c r="B147" s="51"/>
      <c r="C147" s="51"/>
      <c r="D147" s="51"/>
      <c r="E147" s="51"/>
      <c r="F147" s="51"/>
    </row>
    <row r="148" spans="1:6" s="69" customFormat="1" ht="12" customHeight="1" x14ac:dyDescent="0.3">
      <c r="A148" s="57"/>
      <c r="B148" s="51"/>
      <c r="C148" s="51"/>
      <c r="D148" s="51"/>
      <c r="E148" s="51"/>
      <c r="F148" s="51"/>
    </row>
    <row r="149" spans="1:6" s="69" customFormat="1" ht="12" customHeight="1" x14ac:dyDescent="0.3">
      <c r="A149" s="57"/>
      <c r="B149" s="51"/>
      <c r="C149" s="51"/>
      <c r="D149" s="51"/>
      <c r="E149" s="51"/>
      <c r="F149" s="51"/>
    </row>
    <row r="150" spans="1:6" s="69" customFormat="1" ht="12" customHeight="1" x14ac:dyDescent="0.3">
      <c r="A150" s="57"/>
      <c r="B150" s="51"/>
      <c r="C150" s="51"/>
      <c r="D150" s="51"/>
      <c r="E150" s="51"/>
      <c r="F150" s="51"/>
    </row>
    <row r="151" spans="1:6" s="69" customFormat="1" ht="12" customHeight="1" x14ac:dyDescent="0.3">
      <c r="A151" s="57"/>
      <c r="B151" s="51"/>
      <c r="C151" s="51"/>
      <c r="D151" s="51"/>
      <c r="E151" s="51"/>
      <c r="F151" s="51"/>
    </row>
    <row r="152" spans="1:6" s="69" customFormat="1" ht="12" customHeight="1" x14ac:dyDescent="0.3">
      <c r="A152" s="57"/>
      <c r="B152" s="51"/>
      <c r="C152" s="51"/>
      <c r="D152" s="51"/>
      <c r="E152" s="51"/>
      <c r="F152" s="51"/>
    </row>
    <row r="153" spans="1:6" s="69" customFormat="1" ht="12" customHeight="1" x14ac:dyDescent="0.3">
      <c r="A153" s="57"/>
      <c r="B153" s="51"/>
      <c r="C153" s="51"/>
      <c r="D153" s="51"/>
      <c r="E153" s="51"/>
      <c r="F153" s="51"/>
    </row>
    <row r="154" spans="1:6" s="69" customFormat="1" ht="12" customHeight="1" x14ac:dyDescent="0.3">
      <c r="A154" s="57"/>
      <c r="B154" s="51"/>
      <c r="C154" s="51"/>
      <c r="D154" s="51"/>
      <c r="E154" s="51"/>
      <c r="F154" s="51"/>
    </row>
    <row r="155" spans="1:6" s="69" customFormat="1" ht="12" customHeight="1" x14ac:dyDescent="0.3">
      <c r="A155" s="57"/>
      <c r="B155" s="51"/>
      <c r="C155" s="51"/>
      <c r="D155" s="51"/>
      <c r="E155" s="51"/>
      <c r="F155" s="51"/>
    </row>
    <row r="156" spans="1:6" s="69" customFormat="1" ht="12" customHeight="1" x14ac:dyDescent="0.3">
      <c r="A156" s="57"/>
      <c r="B156" s="51"/>
      <c r="C156" s="51"/>
      <c r="D156" s="51"/>
      <c r="E156" s="51"/>
      <c r="F156" s="51"/>
    </row>
    <row r="157" spans="1:6" s="69" customFormat="1" ht="12" customHeight="1" x14ac:dyDescent="0.3">
      <c r="A157" s="57"/>
      <c r="B157" s="51"/>
      <c r="C157" s="51"/>
      <c r="D157" s="51"/>
      <c r="E157" s="51"/>
      <c r="F157" s="51"/>
    </row>
    <row r="158" spans="1:6" s="69" customFormat="1" ht="12" customHeight="1" x14ac:dyDescent="0.3">
      <c r="A158" s="57"/>
      <c r="B158" s="51"/>
      <c r="C158" s="51"/>
      <c r="D158" s="51"/>
      <c r="E158" s="51"/>
      <c r="F158" s="51"/>
    </row>
    <row r="159" spans="1:6" s="69" customFormat="1" ht="12" customHeight="1" x14ac:dyDescent="0.3">
      <c r="A159" s="57"/>
      <c r="B159" s="51"/>
      <c r="C159" s="51"/>
      <c r="D159" s="51"/>
      <c r="E159" s="51"/>
      <c r="F159" s="51"/>
    </row>
    <row r="160" spans="1:6" s="69" customFormat="1" ht="12" customHeight="1" x14ac:dyDescent="0.3">
      <c r="A160" s="57"/>
      <c r="B160" s="51"/>
      <c r="C160" s="51"/>
      <c r="D160" s="51"/>
      <c r="E160" s="51"/>
      <c r="F160" s="51"/>
    </row>
    <row r="161" spans="1:6" s="69" customFormat="1" ht="12" customHeight="1" x14ac:dyDescent="0.3">
      <c r="A161" s="57"/>
      <c r="B161" s="51"/>
      <c r="C161" s="51"/>
      <c r="D161" s="51"/>
      <c r="E161" s="51"/>
      <c r="F161" s="51"/>
    </row>
    <row r="162" spans="1:6" s="69" customFormat="1" ht="12" customHeight="1" x14ac:dyDescent="0.3">
      <c r="A162" s="57"/>
      <c r="B162" s="51"/>
      <c r="C162" s="51"/>
      <c r="D162" s="51"/>
      <c r="E162" s="51"/>
      <c r="F162" s="51"/>
    </row>
    <row r="163" spans="1:6" s="69" customFormat="1" ht="12" customHeight="1" x14ac:dyDescent="0.3">
      <c r="A163" s="57"/>
      <c r="B163" s="51"/>
      <c r="C163" s="51"/>
      <c r="D163" s="51"/>
      <c r="E163" s="51"/>
      <c r="F163" s="51"/>
    </row>
    <row r="164" spans="1:6" s="69" customFormat="1" ht="12" customHeight="1" x14ac:dyDescent="0.3">
      <c r="A164" s="57"/>
      <c r="B164" s="51"/>
      <c r="C164" s="51"/>
      <c r="D164" s="51"/>
      <c r="E164" s="51"/>
      <c r="F164" s="51"/>
    </row>
    <row r="165" spans="1:6" s="69" customFormat="1" ht="12" customHeight="1" x14ac:dyDescent="0.3">
      <c r="A165" s="57"/>
      <c r="B165" s="51"/>
      <c r="C165" s="51"/>
      <c r="D165" s="51"/>
      <c r="E165" s="51"/>
      <c r="F165" s="51"/>
    </row>
    <row r="166" spans="1:6" s="69" customFormat="1" ht="12" customHeight="1" x14ac:dyDescent="0.3">
      <c r="A166" s="57"/>
      <c r="B166" s="51"/>
      <c r="C166" s="51"/>
      <c r="D166" s="51"/>
      <c r="E166" s="51"/>
      <c r="F166" s="51"/>
    </row>
    <row r="167" spans="1:6" s="69" customFormat="1" ht="12" customHeight="1" x14ac:dyDescent="0.3">
      <c r="A167" s="57"/>
      <c r="B167" s="51"/>
      <c r="C167" s="51"/>
      <c r="D167" s="51"/>
      <c r="E167" s="51"/>
      <c r="F167" s="51"/>
    </row>
    <row r="168" spans="1:6" s="69" customFormat="1" ht="12" customHeight="1" x14ac:dyDescent="0.3">
      <c r="A168" s="57"/>
      <c r="B168" s="51"/>
      <c r="C168" s="51"/>
      <c r="D168" s="51"/>
      <c r="E168" s="51"/>
      <c r="F168" s="51"/>
    </row>
    <row r="169" spans="1:6" s="69" customFormat="1" ht="12" customHeight="1" x14ac:dyDescent="0.3">
      <c r="A169" s="57"/>
      <c r="B169" s="51"/>
      <c r="C169" s="51"/>
      <c r="D169" s="51"/>
      <c r="E169" s="51"/>
      <c r="F169" s="51"/>
    </row>
    <row r="170" spans="1:6" s="69" customFormat="1" ht="12" customHeight="1" x14ac:dyDescent="0.3">
      <c r="A170" s="57"/>
      <c r="B170" s="51"/>
      <c r="C170" s="51"/>
      <c r="D170" s="51"/>
      <c r="E170" s="51"/>
      <c r="F170" s="51"/>
    </row>
    <row r="171" spans="1:6" s="69" customFormat="1" ht="12" customHeight="1" x14ac:dyDescent="0.3">
      <c r="A171" s="57"/>
      <c r="B171" s="51"/>
      <c r="C171" s="51"/>
      <c r="D171" s="51"/>
      <c r="E171" s="51"/>
      <c r="F171" s="51"/>
    </row>
    <row r="172" spans="1:6" s="69" customFormat="1" ht="12" customHeight="1" x14ac:dyDescent="0.3">
      <c r="A172" s="57"/>
      <c r="B172" s="51"/>
      <c r="C172" s="51"/>
      <c r="D172" s="51"/>
      <c r="E172" s="51"/>
      <c r="F172" s="51"/>
    </row>
    <row r="173" spans="1:6" s="69" customFormat="1" ht="12" customHeight="1" x14ac:dyDescent="0.3">
      <c r="A173" s="57"/>
      <c r="B173" s="51"/>
      <c r="C173" s="51"/>
      <c r="D173" s="51"/>
      <c r="E173" s="51"/>
      <c r="F173" s="51"/>
    </row>
    <row r="174" spans="1:6" s="69" customFormat="1" ht="12" customHeight="1" x14ac:dyDescent="0.3">
      <c r="A174" s="57"/>
      <c r="B174" s="51"/>
      <c r="C174" s="51"/>
      <c r="D174" s="51"/>
      <c r="E174" s="51"/>
      <c r="F174" s="51"/>
    </row>
    <row r="175" spans="1:6" s="69" customFormat="1" ht="12" customHeight="1" x14ac:dyDescent="0.3">
      <c r="A175" s="57"/>
      <c r="B175" s="51"/>
      <c r="C175" s="51"/>
      <c r="D175" s="51"/>
      <c r="E175" s="51"/>
      <c r="F175" s="51"/>
    </row>
    <row r="176" spans="1:6" s="69" customFormat="1" ht="12" customHeight="1" x14ac:dyDescent="0.3">
      <c r="A176" s="57"/>
      <c r="B176" s="51"/>
      <c r="C176" s="51"/>
      <c r="D176" s="51"/>
      <c r="E176" s="51"/>
      <c r="F176" s="51"/>
    </row>
    <row r="177" spans="1:6" s="69" customFormat="1" ht="12" customHeight="1" x14ac:dyDescent="0.3">
      <c r="A177" s="57"/>
      <c r="B177" s="51"/>
      <c r="C177" s="51"/>
      <c r="D177" s="51"/>
      <c r="E177" s="51"/>
      <c r="F177" s="51"/>
    </row>
    <row r="178" spans="1:6" s="69" customFormat="1" ht="12" customHeight="1" x14ac:dyDescent="0.3">
      <c r="A178" s="57"/>
      <c r="B178" s="51"/>
      <c r="C178" s="51"/>
      <c r="D178" s="51"/>
      <c r="E178" s="51"/>
      <c r="F178" s="51"/>
    </row>
    <row r="179" spans="1:6" s="69" customFormat="1" ht="12" customHeight="1" x14ac:dyDescent="0.3">
      <c r="A179" s="57"/>
      <c r="B179" s="51"/>
      <c r="C179" s="51"/>
      <c r="D179" s="51"/>
      <c r="E179" s="51"/>
      <c r="F179" s="51"/>
    </row>
    <row r="180" spans="1:6" s="69" customFormat="1" ht="12" customHeight="1" x14ac:dyDescent="0.3">
      <c r="A180" s="57"/>
      <c r="B180" s="51"/>
      <c r="C180" s="51"/>
      <c r="D180" s="51"/>
      <c r="E180" s="51"/>
      <c r="F180" s="51"/>
    </row>
    <row r="181" spans="1:6" s="69" customFormat="1" ht="12" customHeight="1" x14ac:dyDescent="0.3">
      <c r="A181" s="57"/>
      <c r="B181" s="51"/>
      <c r="C181" s="51"/>
      <c r="D181" s="51"/>
      <c r="E181" s="51"/>
      <c r="F181" s="51"/>
    </row>
    <row r="182" spans="1:6" s="69" customFormat="1" ht="12" customHeight="1" x14ac:dyDescent="0.3">
      <c r="A182" s="57"/>
      <c r="B182" s="51"/>
      <c r="C182" s="51"/>
      <c r="D182" s="51"/>
      <c r="E182" s="51"/>
      <c r="F182" s="51"/>
    </row>
    <row r="183" spans="1:6" s="69" customFormat="1" ht="12" customHeight="1" x14ac:dyDescent="0.3">
      <c r="A183" s="57"/>
      <c r="B183" s="51"/>
      <c r="C183" s="51"/>
      <c r="D183" s="51"/>
      <c r="E183" s="51"/>
      <c r="F183" s="51"/>
    </row>
    <row r="184" spans="1:6" s="69" customFormat="1" ht="12" customHeight="1" x14ac:dyDescent="0.3">
      <c r="A184" s="57"/>
      <c r="B184" s="51"/>
      <c r="C184" s="51"/>
      <c r="D184" s="51"/>
      <c r="E184" s="51"/>
      <c r="F184" s="51"/>
    </row>
    <row r="185" spans="1:6" s="69" customFormat="1" ht="12" customHeight="1" x14ac:dyDescent="0.3">
      <c r="A185" s="57"/>
      <c r="B185" s="51"/>
      <c r="C185" s="51"/>
      <c r="D185" s="51"/>
      <c r="E185" s="51"/>
      <c r="F185" s="51"/>
    </row>
    <row r="186" spans="1:6" s="69" customFormat="1" ht="12" customHeight="1" x14ac:dyDescent="0.3">
      <c r="A186" s="57"/>
      <c r="B186" s="51"/>
      <c r="C186" s="51"/>
      <c r="D186" s="51"/>
      <c r="E186" s="51"/>
      <c r="F186" s="51"/>
    </row>
    <row r="187" spans="1:6" s="69" customFormat="1" ht="12" customHeight="1" x14ac:dyDescent="0.3">
      <c r="A187" s="57"/>
      <c r="B187" s="51"/>
      <c r="C187" s="51"/>
      <c r="D187" s="51"/>
      <c r="E187" s="51"/>
      <c r="F187" s="51"/>
    </row>
    <row r="188" spans="1:6" s="69" customFormat="1" ht="12" customHeight="1" x14ac:dyDescent="0.3">
      <c r="A188" s="57"/>
      <c r="B188" s="51"/>
      <c r="C188" s="51"/>
      <c r="D188" s="51"/>
      <c r="E188" s="51"/>
      <c r="F188" s="51"/>
    </row>
    <row r="189" spans="1:6" s="69" customFormat="1" ht="12" customHeight="1" x14ac:dyDescent="0.3">
      <c r="A189" s="57"/>
      <c r="B189" s="51"/>
      <c r="C189" s="51"/>
      <c r="D189" s="51"/>
      <c r="E189" s="51"/>
      <c r="F189" s="51"/>
    </row>
    <row r="190" spans="1:6" s="69" customFormat="1" ht="12" customHeight="1" x14ac:dyDescent="0.3">
      <c r="A190" s="57"/>
      <c r="B190" s="51"/>
      <c r="C190" s="51"/>
      <c r="D190" s="51"/>
      <c r="E190" s="51"/>
      <c r="F190" s="51"/>
    </row>
    <row r="191" spans="1:6" s="69" customFormat="1" ht="12" customHeight="1" x14ac:dyDescent="0.3">
      <c r="A191" s="57"/>
      <c r="B191" s="51"/>
      <c r="C191" s="51"/>
      <c r="D191" s="51"/>
      <c r="E191" s="51"/>
      <c r="F191" s="51"/>
    </row>
    <row r="192" spans="1:6" s="69" customFormat="1" ht="12" customHeight="1" x14ac:dyDescent="0.3">
      <c r="A192" s="57"/>
      <c r="B192" s="51"/>
      <c r="C192" s="51"/>
      <c r="D192" s="51"/>
      <c r="E192" s="51"/>
      <c r="F192" s="51"/>
    </row>
    <row r="193" spans="1:6" s="69" customFormat="1" ht="12" customHeight="1" x14ac:dyDescent="0.3">
      <c r="A193" s="57"/>
      <c r="B193" s="51"/>
      <c r="C193" s="51"/>
      <c r="D193" s="51"/>
      <c r="E193" s="51"/>
      <c r="F193" s="51"/>
    </row>
    <row r="194" spans="1:6" s="69" customFormat="1" ht="12" customHeight="1" x14ac:dyDescent="0.3">
      <c r="A194" s="57"/>
      <c r="B194" s="51"/>
      <c r="C194" s="51"/>
      <c r="D194" s="51"/>
      <c r="E194" s="51"/>
      <c r="F194" s="51"/>
    </row>
    <row r="195" spans="1:6" s="69" customFormat="1" ht="12" customHeight="1" x14ac:dyDescent="0.3">
      <c r="A195" s="57"/>
      <c r="B195" s="51"/>
      <c r="C195" s="51"/>
      <c r="D195" s="51"/>
      <c r="E195" s="51"/>
      <c r="F195" s="51"/>
    </row>
    <row r="196" spans="1:6" s="69" customFormat="1" ht="12" customHeight="1" x14ac:dyDescent="0.3">
      <c r="A196" s="57"/>
      <c r="B196" s="51"/>
      <c r="C196" s="51"/>
      <c r="D196" s="51"/>
      <c r="E196" s="51"/>
      <c r="F196" s="51"/>
    </row>
    <row r="197" spans="1:6" s="69" customFormat="1" ht="12" customHeight="1" x14ac:dyDescent="0.3">
      <c r="A197" s="57"/>
      <c r="B197" s="51"/>
      <c r="C197" s="51"/>
      <c r="D197" s="51"/>
      <c r="E197" s="51"/>
      <c r="F197" s="51"/>
    </row>
    <row r="198" spans="1:6" s="69" customFormat="1" ht="12" customHeight="1" x14ac:dyDescent="0.3">
      <c r="A198" s="57"/>
      <c r="B198" s="51"/>
      <c r="C198" s="51"/>
      <c r="D198" s="51"/>
      <c r="E198" s="51"/>
      <c r="F198" s="51"/>
    </row>
    <row r="199" spans="1:6" s="69" customFormat="1" ht="12" customHeight="1" x14ac:dyDescent="0.3">
      <c r="A199" s="57"/>
      <c r="B199" s="51"/>
      <c r="C199" s="51"/>
      <c r="D199" s="51"/>
      <c r="E199" s="51"/>
      <c r="F199" s="51"/>
    </row>
    <row r="200" spans="1:6" s="69" customFormat="1" ht="12" customHeight="1" x14ac:dyDescent="0.3">
      <c r="A200" s="57"/>
      <c r="B200" s="51"/>
      <c r="C200" s="51"/>
      <c r="D200" s="51"/>
      <c r="E200" s="51"/>
      <c r="F200" s="51"/>
    </row>
    <row r="201" spans="1:6" s="69" customFormat="1" ht="12" customHeight="1" x14ac:dyDescent="0.3">
      <c r="A201" s="57"/>
      <c r="B201" s="51"/>
      <c r="C201" s="51"/>
      <c r="D201" s="51"/>
      <c r="E201" s="51"/>
      <c r="F201" s="51"/>
    </row>
    <row r="202" spans="1:6" s="69" customFormat="1" ht="12" customHeight="1" x14ac:dyDescent="0.3">
      <c r="A202" s="57"/>
      <c r="B202" s="51"/>
      <c r="C202" s="51"/>
      <c r="D202" s="51"/>
      <c r="E202" s="51"/>
      <c r="F202" s="51"/>
    </row>
    <row r="203" spans="1:6" s="69" customFormat="1" ht="12" customHeight="1" x14ac:dyDescent="0.3">
      <c r="A203" s="57"/>
      <c r="B203" s="51"/>
      <c r="C203" s="51"/>
      <c r="D203" s="51"/>
      <c r="E203" s="51"/>
      <c r="F203" s="51"/>
    </row>
    <row r="204" spans="1:6" s="69" customFormat="1" ht="12" customHeight="1" x14ac:dyDescent="0.3">
      <c r="A204" s="57"/>
      <c r="B204" s="51"/>
      <c r="C204" s="51"/>
      <c r="D204" s="51"/>
      <c r="E204" s="51"/>
      <c r="F204" s="51"/>
    </row>
    <row r="205" spans="1:6" s="69" customFormat="1" ht="12" customHeight="1" x14ac:dyDescent="0.3">
      <c r="A205" s="57"/>
      <c r="B205" s="51"/>
      <c r="C205" s="51"/>
      <c r="D205" s="51"/>
      <c r="E205" s="51"/>
      <c r="F205" s="51"/>
    </row>
    <row r="206" spans="1:6" s="69" customFormat="1" ht="12" customHeight="1" x14ac:dyDescent="0.3">
      <c r="A206" s="57"/>
      <c r="B206" s="51"/>
      <c r="C206" s="51"/>
      <c r="D206" s="51"/>
      <c r="E206" s="51"/>
      <c r="F206" s="51"/>
    </row>
    <row r="207" spans="1:6" s="69" customFormat="1" ht="12" customHeight="1" x14ac:dyDescent="0.3">
      <c r="A207" s="57"/>
      <c r="B207" s="51"/>
      <c r="C207" s="51"/>
      <c r="D207" s="51"/>
      <c r="E207" s="51"/>
      <c r="F207" s="51"/>
    </row>
    <row r="208" spans="1:6" s="69" customFormat="1" ht="12" customHeight="1" x14ac:dyDescent="0.3">
      <c r="A208" s="57"/>
      <c r="B208" s="51"/>
      <c r="C208" s="51"/>
      <c r="D208" s="51"/>
      <c r="E208" s="51"/>
      <c r="F208" s="51"/>
    </row>
    <row r="209" spans="1:6" s="69" customFormat="1" ht="12" customHeight="1" x14ac:dyDescent="0.3">
      <c r="A209" s="57"/>
      <c r="B209" s="51"/>
      <c r="C209" s="51"/>
      <c r="D209" s="51"/>
      <c r="E209" s="51"/>
      <c r="F209" s="51"/>
    </row>
    <row r="210" spans="1:6" s="69" customFormat="1" ht="12" customHeight="1" x14ac:dyDescent="0.3">
      <c r="A210" s="57"/>
      <c r="B210" s="51"/>
      <c r="C210" s="51"/>
      <c r="D210" s="51"/>
      <c r="E210" s="51"/>
      <c r="F210" s="51"/>
    </row>
    <row r="211" spans="1:6" s="69" customFormat="1" ht="12" customHeight="1" x14ac:dyDescent="0.3">
      <c r="A211" s="57"/>
      <c r="B211" s="51"/>
      <c r="C211" s="51"/>
      <c r="D211" s="51"/>
      <c r="E211" s="51"/>
      <c r="F211" s="51"/>
    </row>
    <row r="212" spans="1:6" s="69" customFormat="1" ht="12" customHeight="1" x14ac:dyDescent="0.3">
      <c r="A212" s="57"/>
      <c r="B212" s="51"/>
      <c r="C212" s="51"/>
      <c r="D212" s="51"/>
      <c r="E212" s="51"/>
      <c r="F212" s="51"/>
    </row>
    <row r="213" spans="1:6" s="69" customFormat="1" ht="12" customHeight="1" x14ac:dyDescent="0.3">
      <c r="A213" s="57"/>
      <c r="B213" s="51"/>
      <c r="C213" s="51"/>
      <c r="D213" s="51"/>
      <c r="E213" s="51"/>
      <c r="F213" s="51"/>
    </row>
    <row r="214" spans="1:6" s="69" customFormat="1" ht="12" customHeight="1" x14ac:dyDescent="0.3">
      <c r="A214" s="57"/>
      <c r="B214" s="51"/>
      <c r="C214" s="51"/>
      <c r="D214" s="51"/>
      <c r="E214" s="51"/>
      <c r="F214" s="51"/>
    </row>
    <row r="215" spans="1:6" s="69" customFormat="1" ht="12" customHeight="1" x14ac:dyDescent="0.3">
      <c r="A215" s="57"/>
      <c r="B215" s="51"/>
      <c r="C215" s="51"/>
      <c r="D215" s="51"/>
      <c r="E215" s="51"/>
      <c r="F215" s="51"/>
    </row>
    <row r="216" spans="1:6" s="69" customFormat="1" ht="12" customHeight="1" x14ac:dyDescent="0.3">
      <c r="A216" s="57"/>
      <c r="B216" s="51"/>
      <c r="C216" s="51"/>
      <c r="D216" s="51"/>
      <c r="E216" s="51"/>
      <c r="F216" s="51"/>
    </row>
    <row r="217" spans="1:6" s="69" customFormat="1" ht="12" customHeight="1" x14ac:dyDescent="0.3">
      <c r="A217" s="57"/>
      <c r="B217" s="51"/>
      <c r="C217" s="51"/>
      <c r="D217" s="51"/>
      <c r="E217" s="51"/>
      <c r="F217" s="51"/>
    </row>
    <row r="218" spans="1:6" s="69" customFormat="1" ht="12" customHeight="1" x14ac:dyDescent="0.3">
      <c r="A218" s="57"/>
      <c r="B218" s="51"/>
      <c r="C218" s="51"/>
      <c r="D218" s="51"/>
      <c r="E218" s="51"/>
      <c r="F218" s="51"/>
    </row>
    <row r="219" spans="1:6" s="69" customFormat="1" ht="12" customHeight="1" x14ac:dyDescent="0.3">
      <c r="A219" s="57"/>
      <c r="B219" s="51"/>
      <c r="C219" s="51"/>
      <c r="D219" s="51"/>
      <c r="E219" s="51"/>
      <c r="F219" s="51"/>
    </row>
    <row r="220" spans="1:6" s="69" customFormat="1" ht="12" customHeight="1" x14ac:dyDescent="0.3">
      <c r="A220" s="57"/>
      <c r="B220" s="51"/>
      <c r="C220" s="51"/>
      <c r="D220" s="51"/>
      <c r="E220" s="51"/>
      <c r="F220" s="51"/>
    </row>
    <row r="221" spans="1:6" s="69" customFormat="1" ht="12" customHeight="1" x14ac:dyDescent="0.3">
      <c r="A221" s="57"/>
      <c r="B221" s="51"/>
      <c r="C221" s="51"/>
      <c r="D221" s="51"/>
      <c r="E221" s="51"/>
      <c r="F221" s="51"/>
    </row>
    <row r="222" spans="1:6" s="69" customFormat="1" ht="12" customHeight="1" x14ac:dyDescent="0.3">
      <c r="A222" s="57"/>
      <c r="B222" s="51"/>
      <c r="C222" s="51"/>
      <c r="D222" s="51"/>
      <c r="E222" s="51"/>
      <c r="F222" s="51"/>
    </row>
    <row r="223" spans="1:6" s="69" customFormat="1" ht="12" customHeight="1" x14ac:dyDescent="0.3">
      <c r="A223" s="57"/>
      <c r="B223" s="51"/>
      <c r="C223" s="51"/>
      <c r="D223" s="51"/>
      <c r="E223" s="51"/>
      <c r="F223" s="51"/>
    </row>
    <row r="224" spans="1:6" s="69" customFormat="1" ht="12" customHeight="1" x14ac:dyDescent="0.3">
      <c r="A224" s="57"/>
      <c r="B224" s="51"/>
      <c r="C224" s="51"/>
      <c r="D224" s="51"/>
      <c r="E224" s="51"/>
      <c r="F224" s="51"/>
    </row>
    <row r="225" spans="1:6" s="69" customFormat="1" ht="12" customHeight="1" x14ac:dyDescent="0.3">
      <c r="A225" s="57"/>
      <c r="B225" s="51"/>
      <c r="C225" s="51"/>
      <c r="D225" s="51"/>
      <c r="E225" s="51"/>
      <c r="F225" s="51"/>
    </row>
    <row r="226" spans="1:6" s="69" customFormat="1" ht="12" customHeight="1" x14ac:dyDescent="0.3">
      <c r="A226" s="57"/>
      <c r="B226" s="51"/>
      <c r="C226" s="51"/>
      <c r="D226" s="51"/>
      <c r="E226" s="51"/>
      <c r="F226" s="51"/>
    </row>
    <row r="227" spans="1:6" s="69" customFormat="1" ht="12" customHeight="1" x14ac:dyDescent="0.3">
      <c r="A227" s="57"/>
      <c r="B227" s="51"/>
      <c r="C227" s="51"/>
      <c r="D227" s="51"/>
      <c r="E227" s="51"/>
      <c r="F227" s="51"/>
    </row>
    <row r="228" spans="1:6" s="69" customFormat="1" ht="12" customHeight="1" x14ac:dyDescent="0.3">
      <c r="A228" s="57"/>
      <c r="B228" s="51"/>
      <c r="C228" s="51"/>
      <c r="D228" s="51"/>
      <c r="E228" s="51"/>
      <c r="F228" s="51"/>
    </row>
    <row r="229" spans="1:6" s="69" customFormat="1" ht="12" customHeight="1" x14ac:dyDescent="0.3">
      <c r="A229" s="57"/>
      <c r="B229" s="51"/>
      <c r="C229" s="51"/>
      <c r="D229" s="51"/>
      <c r="E229" s="51"/>
      <c r="F229" s="51"/>
    </row>
    <row r="230" spans="1:6" s="69" customFormat="1" ht="12" customHeight="1" x14ac:dyDescent="0.3">
      <c r="A230" s="57"/>
      <c r="B230" s="51"/>
      <c r="C230" s="51"/>
      <c r="D230" s="51"/>
      <c r="E230" s="51"/>
      <c r="F230" s="51"/>
    </row>
    <row r="231" spans="1:6" s="69" customFormat="1" ht="12" customHeight="1" x14ac:dyDescent="0.3">
      <c r="A231" s="57"/>
      <c r="B231" s="51"/>
      <c r="C231" s="51"/>
      <c r="D231" s="51"/>
      <c r="E231" s="51"/>
      <c r="F231" s="51"/>
    </row>
    <row r="232" spans="1:6" s="69" customFormat="1" ht="12" customHeight="1" x14ac:dyDescent="0.3">
      <c r="A232" s="57"/>
      <c r="B232" s="51"/>
      <c r="C232" s="51"/>
      <c r="D232" s="51"/>
      <c r="E232" s="51"/>
      <c r="F232" s="51"/>
    </row>
    <row r="233" spans="1:6" s="69" customFormat="1" ht="12" customHeight="1" x14ac:dyDescent="0.3">
      <c r="A233" s="57"/>
      <c r="B233" s="51"/>
      <c r="C233" s="51"/>
      <c r="D233" s="51"/>
      <c r="E233" s="51"/>
      <c r="F233" s="51"/>
    </row>
    <row r="234" spans="1:6" s="69" customFormat="1" ht="12" customHeight="1" x14ac:dyDescent="0.3">
      <c r="A234" s="57"/>
      <c r="B234" s="51"/>
      <c r="C234" s="51"/>
      <c r="D234" s="51"/>
      <c r="E234" s="51"/>
      <c r="F234" s="51"/>
    </row>
    <row r="235" spans="1:6" s="69" customFormat="1" ht="12" customHeight="1" x14ac:dyDescent="0.3">
      <c r="A235" s="57"/>
      <c r="B235" s="51"/>
      <c r="C235" s="51"/>
      <c r="D235" s="51"/>
      <c r="E235" s="51"/>
      <c r="F235" s="51"/>
    </row>
    <row r="236" spans="1:6" s="69" customFormat="1" ht="12" customHeight="1" x14ac:dyDescent="0.3">
      <c r="A236" s="57"/>
      <c r="B236" s="51"/>
      <c r="C236" s="51"/>
      <c r="D236" s="51"/>
      <c r="E236" s="51"/>
      <c r="F236" s="51"/>
    </row>
    <row r="237" spans="1:6" s="69" customFormat="1" ht="12" customHeight="1" x14ac:dyDescent="0.3">
      <c r="A237" s="57"/>
      <c r="B237" s="51"/>
      <c r="C237" s="51"/>
      <c r="D237" s="51"/>
      <c r="E237" s="51"/>
      <c r="F237" s="51"/>
    </row>
    <row r="238" spans="1:6" s="69" customFormat="1" ht="12" customHeight="1" x14ac:dyDescent="0.3">
      <c r="A238" s="57"/>
      <c r="B238" s="51"/>
      <c r="C238" s="51"/>
      <c r="D238" s="51"/>
      <c r="E238" s="51"/>
      <c r="F238" s="51"/>
    </row>
    <row r="239" spans="1:6" s="69" customFormat="1" ht="12" customHeight="1" x14ac:dyDescent="0.3">
      <c r="A239" s="57"/>
      <c r="B239" s="51"/>
      <c r="C239" s="51"/>
      <c r="D239" s="51"/>
      <c r="E239" s="51"/>
      <c r="F239" s="51"/>
    </row>
    <row r="240" spans="1:6" s="69" customFormat="1" ht="12" customHeight="1" x14ac:dyDescent="0.3">
      <c r="A240" s="57"/>
      <c r="B240" s="51"/>
      <c r="C240" s="51"/>
      <c r="D240" s="51"/>
      <c r="E240" s="51"/>
      <c r="F240" s="51"/>
    </row>
    <row r="241" spans="1:6" s="69" customFormat="1" ht="12" customHeight="1" x14ac:dyDescent="0.3">
      <c r="A241" s="57"/>
      <c r="B241" s="51"/>
      <c r="C241" s="51"/>
      <c r="D241" s="51"/>
      <c r="E241" s="51"/>
      <c r="F241" s="51"/>
    </row>
    <row r="242" spans="1:6" s="69" customFormat="1" ht="12" customHeight="1" x14ac:dyDescent="0.3">
      <c r="A242" s="57"/>
      <c r="B242" s="51"/>
      <c r="C242" s="51"/>
      <c r="D242" s="51"/>
      <c r="E242" s="51"/>
      <c r="F242" s="51"/>
    </row>
    <row r="243" spans="1:6" s="69" customFormat="1" ht="12" customHeight="1" x14ac:dyDescent="0.3">
      <c r="A243" s="57"/>
      <c r="B243" s="51"/>
      <c r="C243" s="51"/>
      <c r="D243" s="51"/>
      <c r="E243" s="51"/>
      <c r="F243" s="51"/>
    </row>
    <row r="244" spans="1:6" s="69" customFormat="1" ht="12" customHeight="1" x14ac:dyDescent="0.3">
      <c r="A244" s="57"/>
      <c r="B244" s="51"/>
      <c r="C244" s="51"/>
      <c r="D244" s="51"/>
      <c r="E244" s="51"/>
      <c r="F244" s="51"/>
    </row>
    <row r="245" spans="1:6" s="69" customFormat="1" ht="12" customHeight="1" x14ac:dyDescent="0.3">
      <c r="A245" s="57"/>
      <c r="B245" s="51"/>
      <c r="C245" s="51"/>
      <c r="D245" s="51"/>
      <c r="E245" s="51"/>
      <c r="F245" s="51"/>
    </row>
    <row r="246" spans="1:6" s="69" customFormat="1" ht="12" customHeight="1" x14ac:dyDescent="0.3">
      <c r="A246" s="57"/>
      <c r="B246" s="51"/>
      <c r="C246" s="51"/>
      <c r="D246" s="51"/>
      <c r="E246" s="51"/>
      <c r="F246" s="51"/>
    </row>
    <row r="247" spans="1:6" s="69" customFormat="1" ht="12" customHeight="1" x14ac:dyDescent="0.3">
      <c r="A247" s="57"/>
      <c r="B247" s="51"/>
      <c r="C247" s="51"/>
      <c r="D247" s="51"/>
      <c r="E247" s="51"/>
      <c r="F247" s="51"/>
    </row>
    <row r="248" spans="1:6" s="69" customFormat="1" ht="12" customHeight="1" x14ac:dyDescent="0.3">
      <c r="A248" s="57"/>
      <c r="B248" s="51"/>
      <c r="C248" s="51"/>
      <c r="D248" s="51"/>
      <c r="E248" s="51"/>
      <c r="F248" s="51"/>
    </row>
    <row r="249" spans="1:6" s="69" customFormat="1" ht="12" customHeight="1" x14ac:dyDescent="0.3">
      <c r="A249" s="57"/>
      <c r="B249" s="51"/>
      <c r="C249" s="51"/>
      <c r="D249" s="51"/>
      <c r="E249" s="51"/>
      <c r="F249" s="51"/>
    </row>
    <row r="250" spans="1:6" s="69" customFormat="1" ht="12" customHeight="1" x14ac:dyDescent="0.3">
      <c r="A250" s="57"/>
      <c r="B250" s="51"/>
      <c r="C250" s="51"/>
      <c r="D250" s="51"/>
      <c r="E250" s="51"/>
      <c r="F250" s="51"/>
    </row>
    <row r="251" spans="1:6" s="69" customFormat="1" ht="12" customHeight="1" x14ac:dyDescent="0.3">
      <c r="A251" s="57"/>
      <c r="B251" s="51"/>
      <c r="C251" s="51"/>
      <c r="D251" s="51"/>
      <c r="E251" s="51"/>
      <c r="F251" s="51"/>
    </row>
    <row r="252" spans="1:6" s="69" customFormat="1" ht="12" customHeight="1" x14ac:dyDescent="0.3">
      <c r="A252" s="57"/>
      <c r="B252" s="51"/>
      <c r="C252" s="51"/>
      <c r="D252" s="51"/>
      <c r="E252" s="51"/>
      <c r="F252" s="51"/>
    </row>
    <row r="253" spans="1:6" s="69" customFormat="1" ht="12" customHeight="1" x14ac:dyDescent="0.3">
      <c r="A253" s="57"/>
      <c r="B253" s="51"/>
      <c r="C253" s="51"/>
      <c r="D253" s="51"/>
      <c r="E253" s="51"/>
      <c r="F253" s="51"/>
    </row>
    <row r="254" spans="1:6" s="69" customFormat="1" ht="12" customHeight="1" x14ac:dyDescent="0.3">
      <c r="A254" s="57"/>
      <c r="B254" s="51"/>
      <c r="C254" s="51"/>
      <c r="D254" s="51"/>
      <c r="E254" s="51"/>
      <c r="F254" s="51"/>
    </row>
    <row r="255" spans="1:6" s="69" customFormat="1" ht="12" customHeight="1" x14ac:dyDescent="0.3">
      <c r="A255" s="57"/>
      <c r="B255" s="51"/>
      <c r="C255" s="51"/>
      <c r="D255" s="51"/>
      <c r="E255" s="51"/>
      <c r="F255" s="51"/>
    </row>
    <row r="256" spans="1:6" s="69" customFormat="1" ht="12" customHeight="1" x14ac:dyDescent="0.3">
      <c r="A256" s="57"/>
      <c r="B256" s="51"/>
      <c r="C256" s="51"/>
      <c r="D256" s="51"/>
      <c r="E256" s="51"/>
      <c r="F256" s="51"/>
    </row>
    <row r="257" spans="1:6" s="69" customFormat="1" ht="12" customHeight="1" x14ac:dyDescent="0.3">
      <c r="A257" s="57"/>
      <c r="B257" s="51"/>
      <c r="C257" s="51"/>
      <c r="D257" s="51"/>
      <c r="E257" s="51"/>
      <c r="F257" s="51"/>
    </row>
    <row r="258" spans="1:6" s="69" customFormat="1" ht="12" customHeight="1" x14ac:dyDescent="0.3">
      <c r="A258" s="57"/>
      <c r="B258" s="51"/>
      <c r="C258" s="51"/>
      <c r="D258" s="51"/>
      <c r="E258" s="51"/>
      <c r="F258" s="51"/>
    </row>
    <row r="259" spans="1:6" s="69" customFormat="1" ht="12" customHeight="1" x14ac:dyDescent="0.3">
      <c r="A259" s="57"/>
      <c r="B259" s="51"/>
      <c r="C259" s="51"/>
      <c r="D259" s="51"/>
      <c r="E259" s="51"/>
      <c r="F259" s="51"/>
    </row>
    <row r="260" spans="1:6" s="69" customFormat="1" ht="12" customHeight="1" x14ac:dyDescent="0.3">
      <c r="A260" s="57"/>
      <c r="B260" s="51"/>
      <c r="C260" s="51"/>
      <c r="D260" s="51"/>
      <c r="E260" s="51"/>
      <c r="F260" s="51"/>
    </row>
    <row r="261" spans="1:6" s="69" customFormat="1" ht="12" customHeight="1" x14ac:dyDescent="0.3">
      <c r="A261" s="57"/>
      <c r="B261" s="51"/>
      <c r="C261" s="51"/>
      <c r="D261" s="51"/>
      <c r="E261" s="51"/>
      <c r="F261" s="51"/>
    </row>
    <row r="262" spans="1:6" s="69" customFormat="1" ht="12" customHeight="1" x14ac:dyDescent="0.3">
      <c r="A262" s="57"/>
      <c r="B262" s="51"/>
      <c r="C262" s="51"/>
      <c r="D262" s="51"/>
      <c r="E262" s="51"/>
      <c r="F262" s="51"/>
    </row>
    <row r="263" spans="1:6" s="69" customFormat="1" ht="12" customHeight="1" x14ac:dyDescent="0.3">
      <c r="A263" s="57"/>
      <c r="B263" s="51"/>
      <c r="C263" s="51"/>
      <c r="D263" s="51"/>
      <c r="E263" s="51"/>
      <c r="F263" s="51"/>
    </row>
    <row r="264" spans="1:6" s="69" customFormat="1" ht="12" customHeight="1" x14ac:dyDescent="0.3">
      <c r="A264" s="57"/>
      <c r="B264" s="51"/>
      <c r="C264" s="51"/>
      <c r="D264" s="51"/>
      <c r="E264" s="51"/>
      <c r="F264" s="51"/>
    </row>
    <row r="265" spans="1:6" s="69" customFormat="1" ht="12" customHeight="1" x14ac:dyDescent="0.3">
      <c r="A265" s="57"/>
      <c r="B265" s="51"/>
      <c r="C265" s="51"/>
      <c r="D265" s="51"/>
      <c r="E265" s="51"/>
      <c r="F265" s="51"/>
    </row>
    <row r="266" spans="1:6" s="69" customFormat="1" ht="12" customHeight="1" x14ac:dyDescent="0.3">
      <c r="A266" s="57"/>
      <c r="B266" s="51"/>
      <c r="C266" s="51"/>
      <c r="D266" s="51"/>
      <c r="E266" s="51"/>
      <c r="F266" s="51"/>
    </row>
    <row r="267" spans="1:6" s="69" customFormat="1" ht="12" customHeight="1" x14ac:dyDescent="0.3">
      <c r="A267" s="57"/>
      <c r="B267" s="51"/>
      <c r="C267" s="51"/>
      <c r="D267" s="51"/>
      <c r="E267" s="51"/>
      <c r="F267" s="51"/>
    </row>
    <row r="268" spans="1:6" s="69" customFormat="1" ht="12" customHeight="1" x14ac:dyDescent="0.3">
      <c r="A268" s="57"/>
      <c r="B268" s="51"/>
      <c r="C268" s="51"/>
      <c r="D268" s="51"/>
      <c r="E268" s="51"/>
      <c r="F268" s="51"/>
    </row>
    <row r="269" spans="1:6" s="69" customFormat="1" ht="12" customHeight="1" x14ac:dyDescent="0.3">
      <c r="A269" s="57"/>
      <c r="B269" s="51"/>
      <c r="C269" s="51"/>
      <c r="D269" s="51"/>
      <c r="E269" s="51"/>
      <c r="F269" s="51"/>
    </row>
    <row r="270" spans="1:6" s="69" customFormat="1" ht="12" customHeight="1" x14ac:dyDescent="0.3">
      <c r="A270" s="57"/>
      <c r="B270" s="51"/>
      <c r="C270" s="51"/>
      <c r="D270" s="51"/>
      <c r="E270" s="51"/>
      <c r="F270" s="51"/>
    </row>
    <row r="271" spans="1:6" s="69" customFormat="1" ht="12" customHeight="1" x14ac:dyDescent="0.3">
      <c r="A271" s="57"/>
      <c r="B271" s="51"/>
      <c r="C271" s="51"/>
      <c r="D271" s="51"/>
      <c r="E271" s="51"/>
      <c r="F271" s="51"/>
    </row>
    <row r="272" spans="1:6" s="69" customFormat="1" ht="12" customHeight="1" x14ac:dyDescent="0.3">
      <c r="A272" s="57"/>
      <c r="B272" s="51"/>
      <c r="C272" s="51"/>
      <c r="D272" s="51"/>
      <c r="E272" s="51"/>
      <c r="F272" s="51"/>
    </row>
    <row r="273" spans="1:6" s="69" customFormat="1" ht="12" customHeight="1" x14ac:dyDescent="0.3">
      <c r="A273" s="57"/>
      <c r="B273" s="51"/>
      <c r="C273" s="51"/>
      <c r="D273" s="51"/>
      <c r="E273" s="51"/>
      <c r="F273" s="51"/>
    </row>
    <row r="274" spans="1:6" s="69" customFormat="1" ht="12" customHeight="1" x14ac:dyDescent="0.3">
      <c r="A274" s="57"/>
      <c r="B274" s="51"/>
      <c r="C274" s="51"/>
      <c r="D274" s="51"/>
      <c r="E274" s="51"/>
      <c r="F274" s="51"/>
    </row>
    <row r="275" spans="1:6" s="69" customFormat="1" ht="12" customHeight="1" x14ac:dyDescent="0.3">
      <c r="A275" s="57"/>
      <c r="B275" s="51"/>
      <c r="C275" s="51"/>
      <c r="D275" s="51"/>
      <c r="E275" s="51"/>
      <c r="F275" s="51"/>
    </row>
    <row r="276" spans="1:6" s="69" customFormat="1" ht="12" customHeight="1" x14ac:dyDescent="0.3">
      <c r="A276" s="57"/>
      <c r="B276" s="51"/>
      <c r="C276" s="51"/>
      <c r="D276" s="51"/>
      <c r="E276" s="51"/>
      <c r="F276" s="51"/>
    </row>
    <row r="277" spans="1:6" s="69" customFormat="1" ht="12" customHeight="1" x14ac:dyDescent="0.3">
      <c r="A277" s="57"/>
      <c r="B277" s="51"/>
      <c r="C277" s="51"/>
      <c r="D277" s="51"/>
      <c r="E277" s="51"/>
      <c r="F277" s="51"/>
    </row>
    <row r="278" spans="1:6" s="69" customFormat="1" ht="12" customHeight="1" x14ac:dyDescent="0.3">
      <c r="A278" s="57"/>
      <c r="B278" s="51"/>
      <c r="C278" s="51"/>
      <c r="D278" s="51"/>
      <c r="E278" s="51"/>
      <c r="F278" s="51"/>
    </row>
    <row r="279" spans="1:6" s="69" customFormat="1" ht="12" customHeight="1" x14ac:dyDescent="0.3">
      <c r="A279" s="57"/>
      <c r="B279" s="51"/>
      <c r="C279" s="51"/>
      <c r="D279" s="51"/>
      <c r="E279" s="51"/>
      <c r="F279" s="51"/>
    </row>
    <row r="280" spans="1:6" s="69" customFormat="1" ht="12" customHeight="1" x14ac:dyDescent="0.3">
      <c r="A280" s="57"/>
      <c r="B280" s="51"/>
      <c r="C280" s="51"/>
      <c r="D280" s="51"/>
      <c r="E280" s="51"/>
      <c r="F280" s="51"/>
    </row>
    <row r="281" spans="1:6" s="69" customFormat="1" ht="12" customHeight="1" x14ac:dyDescent="0.3">
      <c r="A281" s="57"/>
      <c r="B281" s="51"/>
      <c r="C281" s="51"/>
      <c r="D281" s="51"/>
      <c r="E281" s="51"/>
      <c r="F281" s="51"/>
    </row>
    <row r="282" spans="1:6" s="69" customFormat="1" ht="12" customHeight="1" x14ac:dyDescent="0.3">
      <c r="A282" s="57"/>
      <c r="B282" s="51"/>
      <c r="C282" s="51"/>
      <c r="D282" s="51"/>
      <c r="E282" s="51"/>
      <c r="F282" s="51"/>
    </row>
    <row r="283" spans="1:6" s="69" customFormat="1" ht="12" customHeight="1" x14ac:dyDescent="0.3">
      <c r="A283" s="57"/>
      <c r="B283" s="51"/>
      <c r="C283" s="51"/>
      <c r="D283" s="51"/>
      <c r="E283" s="51"/>
      <c r="F283" s="51"/>
    </row>
    <row r="284" spans="1:6" s="69" customFormat="1" ht="12" customHeight="1" x14ac:dyDescent="0.3">
      <c r="A284" s="57"/>
      <c r="B284" s="51"/>
      <c r="C284" s="51"/>
      <c r="D284" s="51"/>
      <c r="E284" s="51"/>
      <c r="F284" s="51"/>
    </row>
    <row r="285" spans="1:6" s="69" customFormat="1" ht="12" customHeight="1" x14ac:dyDescent="0.3">
      <c r="A285" s="57"/>
      <c r="B285" s="51"/>
      <c r="C285" s="51"/>
      <c r="D285" s="51"/>
      <c r="E285" s="51"/>
      <c r="F285" s="51"/>
    </row>
    <row r="286" spans="1:6" s="69" customFormat="1" ht="12" customHeight="1" x14ac:dyDescent="0.3">
      <c r="A286" s="57"/>
      <c r="B286" s="51"/>
      <c r="C286" s="51"/>
      <c r="D286" s="51"/>
      <c r="E286" s="51"/>
      <c r="F286" s="51"/>
    </row>
    <row r="287" spans="1:6" s="69" customFormat="1" ht="12" customHeight="1" x14ac:dyDescent="0.3">
      <c r="A287" s="57"/>
      <c r="B287" s="51"/>
      <c r="C287" s="51"/>
      <c r="D287" s="51"/>
      <c r="E287" s="51"/>
      <c r="F287" s="51"/>
    </row>
    <row r="288" spans="1:6" s="69" customFormat="1" ht="12" customHeight="1" x14ac:dyDescent="0.3">
      <c r="A288" s="57"/>
      <c r="B288" s="51"/>
      <c r="C288" s="51"/>
      <c r="D288" s="51"/>
      <c r="E288" s="51"/>
      <c r="F288" s="51"/>
    </row>
    <row r="289" spans="1:6" s="69" customFormat="1" ht="12" customHeight="1" x14ac:dyDescent="0.3">
      <c r="A289" s="57"/>
      <c r="B289" s="51"/>
      <c r="C289" s="51"/>
      <c r="D289" s="51"/>
      <c r="E289" s="51"/>
      <c r="F289" s="51"/>
    </row>
    <row r="290" spans="1:6" s="69" customFormat="1" ht="12" customHeight="1" x14ac:dyDescent="0.3">
      <c r="A290" s="57"/>
      <c r="B290" s="51"/>
      <c r="C290" s="51"/>
      <c r="D290" s="51"/>
      <c r="E290" s="51"/>
      <c r="F290" s="51"/>
    </row>
    <row r="291" spans="1:6" s="69" customFormat="1" ht="12" customHeight="1" x14ac:dyDescent="0.3">
      <c r="A291" s="57"/>
      <c r="B291" s="51"/>
      <c r="C291" s="51"/>
      <c r="D291" s="51"/>
      <c r="E291" s="51"/>
      <c r="F291" s="51"/>
    </row>
    <row r="292" spans="1:6" s="69" customFormat="1" ht="12" customHeight="1" x14ac:dyDescent="0.3">
      <c r="A292" s="57"/>
      <c r="B292" s="51"/>
      <c r="C292" s="51"/>
      <c r="D292" s="51"/>
      <c r="E292" s="51"/>
      <c r="F292" s="51"/>
    </row>
    <row r="293" spans="1:6" s="69" customFormat="1" ht="12" customHeight="1" x14ac:dyDescent="0.3">
      <c r="A293" s="57"/>
      <c r="B293" s="51"/>
      <c r="C293" s="51"/>
      <c r="D293" s="51"/>
      <c r="E293" s="51"/>
      <c r="F293" s="51"/>
    </row>
    <row r="294" spans="1:6" s="69" customFormat="1" ht="12" customHeight="1" x14ac:dyDescent="0.3">
      <c r="A294" s="57"/>
      <c r="B294" s="51"/>
      <c r="C294" s="51"/>
      <c r="D294" s="51"/>
      <c r="E294" s="51"/>
      <c r="F294" s="51"/>
    </row>
    <row r="295" spans="1:6" s="69" customFormat="1" ht="12" customHeight="1" x14ac:dyDescent="0.3">
      <c r="A295" s="57"/>
      <c r="B295" s="51"/>
      <c r="C295" s="51"/>
      <c r="D295" s="51"/>
      <c r="E295" s="51"/>
      <c r="F295" s="51"/>
    </row>
    <row r="296" spans="1:6" s="69" customFormat="1" ht="12" customHeight="1" x14ac:dyDescent="0.3">
      <c r="A296" s="57"/>
      <c r="B296" s="51"/>
      <c r="C296" s="51"/>
      <c r="D296" s="51"/>
      <c r="E296" s="51"/>
      <c r="F296" s="51"/>
    </row>
    <row r="297" spans="1:6" s="69" customFormat="1" ht="12" customHeight="1" x14ac:dyDescent="0.3">
      <c r="A297" s="57"/>
      <c r="B297" s="51"/>
      <c r="C297" s="51"/>
      <c r="D297" s="51"/>
      <c r="E297" s="51"/>
      <c r="F297" s="51"/>
    </row>
    <row r="298" spans="1:6" s="69" customFormat="1" ht="12" customHeight="1" x14ac:dyDescent="0.3">
      <c r="A298" s="57"/>
      <c r="B298" s="51"/>
      <c r="C298" s="51"/>
      <c r="D298" s="51"/>
      <c r="E298" s="51"/>
      <c r="F298" s="51"/>
    </row>
    <row r="299" spans="1:6" s="69" customFormat="1" ht="12" customHeight="1" x14ac:dyDescent="0.3">
      <c r="A299" s="57"/>
      <c r="B299" s="51"/>
      <c r="C299" s="51"/>
      <c r="D299" s="51"/>
      <c r="E299" s="51"/>
      <c r="F299" s="51"/>
    </row>
    <row r="300" spans="1:6" s="69" customFormat="1" ht="12" customHeight="1" x14ac:dyDescent="0.3">
      <c r="A300" s="57"/>
      <c r="B300" s="51"/>
      <c r="C300" s="51"/>
      <c r="D300" s="51"/>
      <c r="E300" s="51"/>
      <c r="F300" s="51"/>
    </row>
    <row r="301" spans="1:6" s="69" customFormat="1" ht="12" customHeight="1" x14ac:dyDescent="0.3">
      <c r="A301" s="57"/>
      <c r="B301" s="51"/>
      <c r="C301" s="51"/>
      <c r="D301" s="51"/>
      <c r="E301" s="51"/>
      <c r="F301" s="51"/>
    </row>
    <row r="302" spans="1:6" s="69" customFormat="1" ht="12" customHeight="1" x14ac:dyDescent="0.3">
      <c r="A302" s="57"/>
      <c r="B302" s="51"/>
      <c r="C302" s="51"/>
      <c r="D302" s="51"/>
      <c r="E302" s="51"/>
      <c r="F302" s="51"/>
    </row>
    <row r="303" spans="1:6" s="69" customFormat="1" ht="12" customHeight="1" x14ac:dyDescent="0.3">
      <c r="A303" s="57"/>
      <c r="B303" s="51"/>
      <c r="C303" s="51"/>
      <c r="D303" s="51"/>
      <c r="E303" s="51"/>
      <c r="F303" s="51"/>
    </row>
    <row r="304" spans="1:6" s="69" customFormat="1" ht="12" customHeight="1" x14ac:dyDescent="0.3">
      <c r="A304" s="57"/>
      <c r="B304" s="51"/>
      <c r="C304" s="51"/>
      <c r="D304" s="51"/>
      <c r="E304" s="51"/>
      <c r="F304" s="51"/>
    </row>
    <row r="305" spans="1:6" s="69" customFormat="1" ht="12" customHeight="1" x14ac:dyDescent="0.3">
      <c r="A305" s="57"/>
      <c r="B305" s="51"/>
      <c r="C305" s="51"/>
      <c r="D305" s="51"/>
      <c r="E305" s="51"/>
      <c r="F305" s="51"/>
    </row>
    <row r="306" spans="1:6" s="69" customFormat="1" ht="12" customHeight="1" x14ac:dyDescent="0.3">
      <c r="A306" s="57"/>
      <c r="B306" s="51"/>
      <c r="C306" s="51"/>
      <c r="D306" s="51"/>
      <c r="E306" s="51"/>
      <c r="F306" s="51"/>
    </row>
    <row r="307" spans="1:6" s="69" customFormat="1" ht="12" customHeight="1" x14ac:dyDescent="0.3">
      <c r="A307" s="57"/>
      <c r="B307" s="51"/>
      <c r="C307" s="51"/>
      <c r="D307" s="51"/>
      <c r="E307" s="51"/>
      <c r="F307" s="51"/>
    </row>
    <row r="308" spans="1:6" s="69" customFormat="1" ht="12" customHeight="1" x14ac:dyDescent="0.3">
      <c r="A308" s="57"/>
      <c r="B308" s="51"/>
      <c r="C308" s="51"/>
      <c r="D308" s="51"/>
      <c r="E308" s="51"/>
      <c r="F308" s="51"/>
    </row>
    <row r="309" spans="1:6" s="69" customFormat="1" ht="12" customHeight="1" x14ac:dyDescent="0.3">
      <c r="A309" s="57"/>
      <c r="B309" s="51"/>
      <c r="C309" s="51"/>
      <c r="D309" s="51"/>
      <c r="E309" s="51"/>
      <c r="F309" s="51"/>
    </row>
    <row r="310" spans="1:6" s="69" customFormat="1" ht="12" customHeight="1" x14ac:dyDescent="0.3">
      <c r="A310" s="57"/>
      <c r="B310" s="51"/>
      <c r="C310" s="51"/>
      <c r="D310" s="51"/>
      <c r="E310" s="51"/>
      <c r="F310" s="51"/>
    </row>
    <row r="311" spans="1:6" s="69" customFormat="1" ht="12" customHeight="1" x14ac:dyDescent="0.3">
      <c r="A311" s="57"/>
      <c r="B311" s="51"/>
      <c r="C311" s="51"/>
      <c r="D311" s="51"/>
      <c r="E311" s="51"/>
      <c r="F311" s="51"/>
    </row>
    <row r="312" spans="1:6" s="69" customFormat="1" ht="12" customHeight="1" x14ac:dyDescent="0.3">
      <c r="A312" s="57"/>
      <c r="B312" s="51"/>
      <c r="C312" s="51"/>
      <c r="D312" s="51"/>
      <c r="E312" s="51"/>
      <c r="F312" s="51"/>
    </row>
    <row r="313" spans="1:6" s="69" customFormat="1" ht="12" customHeight="1" x14ac:dyDescent="0.3">
      <c r="A313" s="57"/>
      <c r="B313" s="51"/>
      <c r="C313" s="51"/>
      <c r="D313" s="51"/>
      <c r="E313" s="51"/>
      <c r="F313" s="51"/>
    </row>
    <row r="314" spans="1:6" s="69" customFormat="1" ht="12" customHeight="1" x14ac:dyDescent="0.3">
      <c r="A314" s="57"/>
      <c r="B314" s="51"/>
      <c r="C314" s="51"/>
      <c r="D314" s="51"/>
      <c r="E314" s="51"/>
      <c r="F314" s="51"/>
    </row>
    <row r="315" spans="1:6" s="69" customFormat="1" ht="12" customHeight="1" x14ac:dyDescent="0.3">
      <c r="A315" s="57"/>
      <c r="B315" s="51"/>
      <c r="C315" s="51"/>
      <c r="D315" s="51"/>
      <c r="E315" s="51"/>
      <c r="F315" s="51"/>
    </row>
    <row r="316" spans="1:6" s="69" customFormat="1" ht="12" customHeight="1" x14ac:dyDescent="0.3">
      <c r="A316" s="57"/>
      <c r="B316" s="51"/>
      <c r="C316" s="51"/>
      <c r="D316" s="51"/>
      <c r="E316" s="51"/>
      <c r="F316" s="51"/>
    </row>
    <row r="317" spans="1:6" s="69" customFormat="1" ht="12" customHeight="1" x14ac:dyDescent="0.3">
      <c r="A317" s="57"/>
      <c r="B317" s="51"/>
      <c r="C317" s="51"/>
      <c r="D317" s="51"/>
      <c r="E317" s="51"/>
      <c r="F317" s="51"/>
    </row>
    <row r="318" spans="1:6" s="69" customFormat="1" ht="12" customHeight="1" x14ac:dyDescent="0.3">
      <c r="A318" s="57"/>
      <c r="B318" s="51"/>
      <c r="C318" s="51"/>
      <c r="D318" s="51"/>
      <c r="E318" s="51"/>
      <c r="F318" s="51"/>
    </row>
    <row r="319" spans="1:6" s="69" customFormat="1" ht="12" customHeight="1" x14ac:dyDescent="0.3">
      <c r="A319" s="57"/>
      <c r="B319" s="51"/>
      <c r="C319" s="51"/>
      <c r="D319" s="51"/>
      <c r="E319" s="51"/>
      <c r="F319" s="51"/>
    </row>
    <row r="320" spans="1:6" s="69" customFormat="1" ht="12" customHeight="1" x14ac:dyDescent="0.3">
      <c r="A320" s="57"/>
      <c r="B320" s="51"/>
      <c r="C320" s="51"/>
      <c r="D320" s="51"/>
      <c r="E320" s="51"/>
      <c r="F320" s="51"/>
    </row>
    <row r="321" spans="1:6" s="69" customFormat="1" ht="12" customHeight="1" x14ac:dyDescent="0.3">
      <c r="A321" s="57"/>
      <c r="B321" s="51"/>
      <c r="C321" s="51"/>
      <c r="D321" s="51"/>
      <c r="E321" s="51"/>
      <c r="F321" s="51"/>
    </row>
    <row r="322" spans="1:6" s="69" customFormat="1" ht="12" customHeight="1" x14ac:dyDescent="0.3">
      <c r="A322" s="57"/>
      <c r="B322" s="51"/>
      <c r="C322" s="51"/>
      <c r="D322" s="51"/>
      <c r="E322" s="51"/>
      <c r="F322" s="51"/>
    </row>
    <row r="323" spans="1:6" s="69" customFormat="1" ht="12" customHeight="1" x14ac:dyDescent="0.3">
      <c r="A323" s="57"/>
      <c r="B323" s="51"/>
      <c r="C323" s="51"/>
      <c r="D323" s="51"/>
      <c r="E323" s="51"/>
      <c r="F323" s="51"/>
    </row>
    <row r="324" spans="1:6" s="69" customFormat="1" ht="12" customHeight="1" x14ac:dyDescent="0.3">
      <c r="A324" s="57"/>
      <c r="B324" s="51"/>
      <c r="C324" s="51"/>
      <c r="D324" s="51"/>
      <c r="E324" s="51"/>
      <c r="F324" s="51"/>
    </row>
    <row r="325" spans="1:6" s="69" customFormat="1" ht="12" customHeight="1" x14ac:dyDescent="0.3">
      <c r="A325" s="57"/>
      <c r="B325" s="51"/>
      <c r="C325" s="51"/>
      <c r="D325" s="51"/>
      <c r="E325" s="51"/>
      <c r="F325" s="51"/>
    </row>
    <row r="326" spans="1:6" s="69" customFormat="1" ht="12" customHeight="1" x14ac:dyDescent="0.3">
      <c r="A326" s="57"/>
      <c r="B326" s="51"/>
      <c r="C326" s="51"/>
      <c r="D326" s="51"/>
      <c r="E326" s="51"/>
      <c r="F326" s="51"/>
    </row>
    <row r="327" spans="1:6" s="69" customFormat="1" ht="12" customHeight="1" x14ac:dyDescent="0.3">
      <c r="A327" s="57"/>
      <c r="B327" s="51"/>
      <c r="C327" s="51"/>
      <c r="D327" s="51"/>
      <c r="E327" s="51"/>
      <c r="F327" s="51"/>
    </row>
    <row r="328" spans="1:6" s="69" customFormat="1" ht="12" customHeight="1" x14ac:dyDescent="0.3">
      <c r="A328" s="57"/>
      <c r="B328" s="51"/>
      <c r="C328" s="51"/>
      <c r="D328" s="51"/>
      <c r="E328" s="51"/>
      <c r="F328" s="51"/>
    </row>
    <row r="329" spans="1:6" s="69" customFormat="1" ht="12" customHeight="1" x14ac:dyDescent="0.3">
      <c r="A329" s="57"/>
      <c r="B329" s="51"/>
      <c r="C329" s="51"/>
      <c r="D329" s="51"/>
      <c r="E329" s="51"/>
      <c r="F329" s="51"/>
    </row>
    <row r="330" spans="1:6" s="69" customFormat="1" ht="12" customHeight="1" x14ac:dyDescent="0.3">
      <c r="A330" s="57"/>
      <c r="B330" s="51"/>
      <c r="C330" s="51"/>
      <c r="D330" s="51"/>
      <c r="E330" s="51"/>
      <c r="F330" s="51"/>
    </row>
    <row r="331" spans="1:6" s="69" customFormat="1" ht="12" customHeight="1" x14ac:dyDescent="0.3">
      <c r="A331" s="57"/>
      <c r="B331" s="51"/>
      <c r="C331" s="51"/>
      <c r="D331" s="51"/>
      <c r="E331" s="51"/>
      <c r="F331" s="51"/>
    </row>
    <row r="332" spans="1:6" s="69" customFormat="1" ht="12" customHeight="1" x14ac:dyDescent="0.3">
      <c r="A332" s="57"/>
      <c r="B332" s="51"/>
      <c r="C332" s="51"/>
      <c r="D332" s="51"/>
      <c r="E332" s="51"/>
      <c r="F332" s="51"/>
    </row>
    <row r="333" spans="1:6" s="69" customFormat="1" ht="12" customHeight="1" x14ac:dyDescent="0.3">
      <c r="A333" s="57"/>
      <c r="B333" s="51"/>
      <c r="C333" s="51"/>
      <c r="D333" s="51"/>
      <c r="E333" s="51"/>
      <c r="F333" s="51"/>
    </row>
    <row r="334" spans="1:6" s="69" customFormat="1" ht="12" customHeight="1" x14ac:dyDescent="0.3">
      <c r="A334" s="57"/>
      <c r="B334" s="51"/>
      <c r="C334" s="51"/>
      <c r="D334" s="51"/>
      <c r="E334" s="51"/>
      <c r="F334" s="51"/>
    </row>
    <row r="335" spans="1:6" s="69" customFormat="1" ht="12" customHeight="1" x14ac:dyDescent="0.3">
      <c r="A335" s="57"/>
      <c r="B335" s="51"/>
      <c r="C335" s="51"/>
      <c r="D335" s="51"/>
      <c r="E335" s="51"/>
      <c r="F335" s="51"/>
    </row>
    <row r="336" spans="1:6" s="69" customFormat="1" ht="12" customHeight="1" x14ac:dyDescent="0.3">
      <c r="A336" s="57"/>
      <c r="B336" s="51"/>
      <c r="C336" s="51"/>
      <c r="D336" s="51"/>
      <c r="E336" s="51"/>
      <c r="F336" s="51"/>
    </row>
    <row r="337" spans="1:6" s="69" customFormat="1" ht="12" customHeight="1" x14ac:dyDescent="0.3">
      <c r="A337" s="57"/>
      <c r="B337" s="51"/>
      <c r="C337" s="51"/>
      <c r="D337" s="51"/>
      <c r="E337" s="51"/>
      <c r="F337" s="51"/>
    </row>
    <row r="338" spans="1:6" s="69" customFormat="1" ht="12" customHeight="1" x14ac:dyDescent="0.3">
      <c r="A338" s="57"/>
      <c r="B338" s="51"/>
      <c r="C338" s="51"/>
      <c r="D338" s="51"/>
      <c r="E338" s="51"/>
      <c r="F338" s="51"/>
    </row>
    <row r="339" spans="1:6" s="69" customFormat="1" ht="12" customHeight="1" x14ac:dyDescent="0.3">
      <c r="A339" s="57"/>
      <c r="B339" s="51"/>
      <c r="C339" s="51"/>
      <c r="D339" s="51"/>
      <c r="E339" s="51"/>
      <c r="F339" s="51"/>
    </row>
    <row r="340" spans="1:6" s="69" customFormat="1" ht="12" customHeight="1" x14ac:dyDescent="0.3">
      <c r="A340" s="57"/>
      <c r="B340" s="51"/>
      <c r="C340" s="51"/>
      <c r="D340" s="51"/>
      <c r="E340" s="51"/>
      <c r="F340" s="51"/>
    </row>
    <row r="341" spans="1:6" s="69" customFormat="1" ht="12" customHeight="1" x14ac:dyDescent="0.3">
      <c r="A341" s="57"/>
      <c r="B341" s="51"/>
      <c r="C341" s="51"/>
      <c r="D341" s="51"/>
      <c r="E341" s="51"/>
      <c r="F341" s="51"/>
    </row>
    <row r="342" spans="1:6" s="69" customFormat="1" ht="12" customHeight="1" x14ac:dyDescent="0.3">
      <c r="A342" s="57"/>
      <c r="B342" s="51"/>
      <c r="C342" s="51"/>
      <c r="D342" s="51"/>
      <c r="E342" s="51"/>
      <c r="F342" s="51"/>
    </row>
    <row r="343" spans="1:6" s="69" customFormat="1" ht="12" customHeight="1" x14ac:dyDescent="0.3">
      <c r="A343" s="57"/>
      <c r="B343" s="51"/>
      <c r="C343" s="51"/>
      <c r="D343" s="51"/>
      <c r="E343" s="51"/>
      <c r="F343" s="51"/>
    </row>
    <row r="344" spans="1:6" s="69" customFormat="1" ht="12" customHeight="1" x14ac:dyDescent="0.3">
      <c r="A344" s="57"/>
      <c r="B344" s="51"/>
      <c r="C344" s="51"/>
      <c r="D344" s="51"/>
      <c r="E344" s="51"/>
      <c r="F344" s="51"/>
    </row>
    <row r="345" spans="1:6" s="69" customFormat="1" ht="12" customHeight="1" x14ac:dyDescent="0.3">
      <c r="A345" s="57"/>
      <c r="B345" s="51"/>
      <c r="C345" s="51"/>
      <c r="D345" s="51"/>
      <c r="E345" s="51"/>
      <c r="F345" s="51"/>
    </row>
    <row r="346" spans="1:6" s="69" customFormat="1" ht="12" customHeight="1" x14ac:dyDescent="0.3">
      <c r="A346" s="57"/>
      <c r="B346" s="51"/>
      <c r="C346" s="51"/>
      <c r="D346" s="51"/>
      <c r="E346" s="51"/>
      <c r="F346" s="51"/>
    </row>
    <row r="347" spans="1:6" s="69" customFormat="1" ht="12" customHeight="1" x14ac:dyDescent="0.3">
      <c r="A347" s="57"/>
      <c r="B347" s="51"/>
      <c r="C347" s="51"/>
      <c r="D347" s="51"/>
      <c r="E347" s="51"/>
      <c r="F347" s="51"/>
    </row>
    <row r="348" spans="1:6" s="69" customFormat="1" ht="12" customHeight="1" x14ac:dyDescent="0.3">
      <c r="A348" s="57"/>
      <c r="B348" s="51"/>
      <c r="C348" s="51"/>
      <c r="D348" s="51"/>
      <c r="E348" s="51"/>
      <c r="F348" s="51"/>
    </row>
    <row r="349" spans="1:6" s="69" customFormat="1" ht="12" customHeight="1" x14ac:dyDescent="0.3">
      <c r="A349" s="57"/>
      <c r="B349" s="51"/>
      <c r="C349" s="51"/>
      <c r="D349" s="51"/>
      <c r="E349" s="51"/>
      <c r="F349" s="51"/>
    </row>
    <row r="350" spans="1:6" s="69" customFormat="1" ht="12" customHeight="1" x14ac:dyDescent="0.3">
      <c r="A350" s="57"/>
      <c r="B350" s="51"/>
      <c r="C350" s="51"/>
      <c r="D350" s="51"/>
      <c r="E350" s="51"/>
      <c r="F350" s="51"/>
    </row>
    <row r="351" spans="1:6" s="69" customFormat="1" ht="12" customHeight="1" x14ac:dyDescent="0.3">
      <c r="A351" s="57"/>
      <c r="B351" s="51"/>
      <c r="C351" s="51"/>
      <c r="D351" s="51"/>
      <c r="E351" s="51"/>
      <c r="F351" s="51"/>
    </row>
    <row r="352" spans="1:6" s="69" customFormat="1" ht="12" customHeight="1" x14ac:dyDescent="0.3">
      <c r="A352" s="57"/>
      <c r="B352" s="51"/>
      <c r="C352" s="51"/>
      <c r="D352" s="51"/>
      <c r="E352" s="51"/>
      <c r="F352" s="51"/>
    </row>
    <row r="353" spans="1:6" s="69" customFormat="1" ht="12" customHeight="1" x14ac:dyDescent="0.3">
      <c r="A353" s="57"/>
      <c r="B353" s="51"/>
      <c r="C353" s="51"/>
      <c r="D353" s="51"/>
      <c r="E353" s="51"/>
      <c r="F353" s="51"/>
    </row>
    <row r="354" spans="1:6" s="69" customFormat="1" ht="12" customHeight="1" x14ac:dyDescent="0.3">
      <c r="A354" s="57"/>
      <c r="B354" s="51"/>
      <c r="C354" s="51"/>
      <c r="D354" s="51"/>
      <c r="E354" s="51"/>
      <c r="F354" s="51"/>
    </row>
    <row r="355" spans="1:6" s="69" customFormat="1" ht="12" customHeight="1" x14ac:dyDescent="0.3">
      <c r="A355" s="57"/>
      <c r="B355" s="51"/>
      <c r="C355" s="51"/>
      <c r="D355" s="51"/>
      <c r="E355" s="51"/>
      <c r="F355" s="51"/>
    </row>
    <row r="356" spans="1:6" s="69" customFormat="1" ht="12" customHeight="1" x14ac:dyDescent="0.3">
      <c r="A356" s="57"/>
      <c r="B356" s="51"/>
      <c r="C356" s="51"/>
      <c r="D356" s="51"/>
      <c r="E356" s="51"/>
      <c r="F356" s="51"/>
    </row>
    <row r="357" spans="1:6" s="69" customFormat="1" ht="12" customHeight="1" x14ac:dyDescent="0.3">
      <c r="A357" s="57"/>
      <c r="B357" s="51"/>
      <c r="C357" s="51"/>
      <c r="D357" s="51"/>
      <c r="E357" s="51"/>
      <c r="F357" s="51"/>
    </row>
    <row r="358" spans="1:6" s="69" customFormat="1" ht="12" customHeight="1" x14ac:dyDescent="0.3">
      <c r="A358" s="57"/>
      <c r="B358" s="51"/>
      <c r="C358" s="51"/>
      <c r="D358" s="51"/>
      <c r="E358" s="51"/>
      <c r="F358" s="51"/>
    </row>
    <row r="359" spans="1:6" s="69" customFormat="1" ht="12" customHeight="1" x14ac:dyDescent="0.3">
      <c r="A359" s="57"/>
      <c r="B359" s="51"/>
      <c r="C359" s="51"/>
      <c r="D359" s="51"/>
      <c r="E359" s="51"/>
      <c r="F359" s="51"/>
    </row>
    <row r="360" spans="1:6" s="69" customFormat="1" ht="12" customHeight="1" x14ac:dyDescent="0.3">
      <c r="A360" s="57"/>
      <c r="B360" s="51"/>
      <c r="C360" s="51"/>
      <c r="D360" s="51"/>
      <c r="E360" s="51"/>
      <c r="F360" s="51"/>
    </row>
    <row r="361" spans="1:6" s="69" customFormat="1" ht="12" customHeight="1" x14ac:dyDescent="0.3">
      <c r="A361" s="57"/>
      <c r="B361" s="51"/>
      <c r="C361" s="51"/>
      <c r="D361" s="51"/>
      <c r="E361" s="51"/>
      <c r="F361" s="51"/>
    </row>
    <row r="362" spans="1:6" s="69" customFormat="1" ht="12" customHeight="1" x14ac:dyDescent="0.3">
      <c r="A362" s="57"/>
      <c r="B362" s="51"/>
      <c r="C362" s="51"/>
      <c r="D362" s="51"/>
      <c r="E362" s="51"/>
      <c r="F362" s="51"/>
    </row>
    <row r="363" spans="1:6" s="69" customFormat="1" ht="12" customHeight="1" x14ac:dyDescent="0.3">
      <c r="A363" s="57"/>
      <c r="B363" s="51"/>
      <c r="C363" s="51"/>
      <c r="D363" s="51"/>
      <c r="E363" s="51"/>
      <c r="F363" s="51"/>
    </row>
    <row r="364" spans="1:6" s="69" customFormat="1" ht="12" customHeight="1" x14ac:dyDescent="0.3">
      <c r="A364" s="57"/>
      <c r="B364" s="51"/>
      <c r="C364" s="51"/>
      <c r="D364" s="51"/>
      <c r="E364" s="51"/>
      <c r="F364" s="51"/>
    </row>
    <row r="365" spans="1:6" s="69" customFormat="1" ht="12" customHeight="1" x14ac:dyDescent="0.3">
      <c r="A365" s="57"/>
      <c r="B365" s="51"/>
      <c r="C365" s="51"/>
      <c r="D365" s="51"/>
      <c r="E365" s="51"/>
      <c r="F365" s="51"/>
    </row>
    <row r="366" spans="1:6" s="69" customFormat="1" ht="12" customHeight="1" x14ac:dyDescent="0.3">
      <c r="A366" s="57"/>
      <c r="B366" s="51"/>
      <c r="C366" s="51"/>
      <c r="D366" s="51"/>
      <c r="E366" s="51"/>
      <c r="F366" s="51"/>
    </row>
    <row r="367" spans="1:6" s="69" customFormat="1" ht="12" customHeight="1" x14ac:dyDescent="0.3">
      <c r="A367" s="57"/>
      <c r="B367" s="51"/>
      <c r="C367" s="51"/>
      <c r="D367" s="51"/>
      <c r="E367" s="51"/>
      <c r="F367" s="51"/>
    </row>
    <row r="368" spans="1:6" s="69" customFormat="1" ht="12" customHeight="1" x14ac:dyDescent="0.3">
      <c r="A368" s="57"/>
      <c r="B368" s="51"/>
      <c r="C368" s="51"/>
      <c r="D368" s="51"/>
      <c r="E368" s="51"/>
      <c r="F368" s="51"/>
    </row>
    <row r="369" spans="1:6" s="69" customFormat="1" ht="12" customHeight="1" x14ac:dyDescent="0.3">
      <c r="A369" s="57"/>
      <c r="B369" s="51"/>
      <c r="C369" s="51"/>
      <c r="D369" s="51"/>
      <c r="E369" s="51"/>
      <c r="F369" s="51"/>
    </row>
    <row r="370" spans="1:6" s="69" customFormat="1" ht="12" customHeight="1" x14ac:dyDescent="0.3">
      <c r="A370" s="57"/>
      <c r="B370" s="51"/>
      <c r="C370" s="51"/>
      <c r="D370" s="51"/>
      <c r="E370" s="51"/>
      <c r="F370" s="51"/>
    </row>
    <row r="371" spans="1:6" s="69" customFormat="1" ht="12" customHeight="1" x14ac:dyDescent="0.3">
      <c r="A371" s="57"/>
      <c r="B371" s="51"/>
      <c r="C371" s="51"/>
      <c r="D371" s="51"/>
      <c r="E371" s="51"/>
      <c r="F371" s="51"/>
    </row>
    <row r="372" spans="1:6" s="69" customFormat="1" ht="12" customHeight="1" x14ac:dyDescent="0.3">
      <c r="A372" s="57"/>
      <c r="B372" s="51"/>
      <c r="C372" s="51"/>
      <c r="D372" s="51"/>
      <c r="E372" s="51"/>
      <c r="F372" s="51"/>
    </row>
    <row r="373" spans="1:6" s="69" customFormat="1" ht="12" customHeight="1" x14ac:dyDescent="0.3">
      <c r="A373" s="57"/>
      <c r="B373" s="51"/>
      <c r="C373" s="51"/>
      <c r="D373" s="51"/>
      <c r="E373" s="51"/>
      <c r="F373" s="51"/>
    </row>
    <row r="374" spans="1:6" s="69" customFormat="1" ht="12" customHeight="1" x14ac:dyDescent="0.3">
      <c r="A374" s="57"/>
      <c r="B374" s="51"/>
      <c r="C374" s="51"/>
      <c r="D374" s="51"/>
      <c r="E374" s="51"/>
      <c r="F374" s="51"/>
    </row>
    <row r="375" spans="1:6" s="69" customFormat="1" ht="12" customHeight="1" x14ac:dyDescent="0.3">
      <c r="A375" s="57"/>
      <c r="B375" s="51"/>
      <c r="C375" s="51"/>
      <c r="D375" s="51"/>
      <c r="E375" s="51"/>
      <c r="F375" s="51"/>
    </row>
    <row r="376" spans="1:6" s="69" customFormat="1" ht="12" customHeight="1" x14ac:dyDescent="0.3">
      <c r="A376" s="57"/>
      <c r="B376" s="51"/>
      <c r="C376" s="51"/>
      <c r="D376" s="51"/>
      <c r="E376" s="51"/>
      <c r="F376" s="51"/>
    </row>
    <row r="377" spans="1:6" s="69" customFormat="1" ht="12" customHeight="1" x14ac:dyDescent="0.3">
      <c r="A377" s="57"/>
      <c r="B377" s="51"/>
      <c r="C377" s="51"/>
      <c r="D377" s="51"/>
      <c r="E377" s="51"/>
      <c r="F377" s="51"/>
    </row>
    <row r="378" spans="1:6" s="69" customFormat="1" ht="12" customHeight="1" x14ac:dyDescent="0.3">
      <c r="A378" s="57"/>
      <c r="B378" s="51"/>
      <c r="C378" s="51"/>
      <c r="D378" s="51"/>
      <c r="E378" s="51"/>
      <c r="F378" s="51"/>
    </row>
    <row r="379" spans="1:6" s="69" customFormat="1" ht="12" customHeight="1" x14ac:dyDescent="0.3">
      <c r="A379" s="57"/>
      <c r="B379" s="51"/>
      <c r="C379" s="51"/>
      <c r="D379" s="51"/>
      <c r="E379" s="51"/>
      <c r="F379" s="51"/>
    </row>
    <row r="380" spans="1:6" s="69" customFormat="1" ht="12" customHeight="1" x14ac:dyDescent="0.3">
      <c r="A380" s="57"/>
      <c r="B380" s="51"/>
      <c r="C380" s="51"/>
      <c r="D380" s="51"/>
      <c r="E380" s="51"/>
      <c r="F380" s="51"/>
    </row>
    <row r="381" spans="1:6" s="69" customFormat="1" ht="12" customHeight="1" x14ac:dyDescent="0.3">
      <c r="A381" s="57"/>
      <c r="B381" s="51"/>
      <c r="C381" s="51"/>
      <c r="D381" s="51"/>
      <c r="E381" s="51"/>
      <c r="F381" s="51"/>
    </row>
    <row r="382" spans="1:6" s="69" customFormat="1" ht="12" customHeight="1" x14ac:dyDescent="0.3">
      <c r="A382" s="57"/>
      <c r="B382" s="51"/>
      <c r="C382" s="51"/>
      <c r="D382" s="51"/>
      <c r="E382" s="51"/>
      <c r="F382" s="51"/>
    </row>
    <row r="383" spans="1:6" s="69" customFormat="1" ht="12" customHeight="1" x14ac:dyDescent="0.3">
      <c r="A383" s="57"/>
      <c r="B383" s="51"/>
      <c r="C383" s="51"/>
      <c r="D383" s="51"/>
      <c r="E383" s="51"/>
      <c r="F383" s="51"/>
    </row>
    <row r="384" spans="1:6" s="69" customFormat="1" ht="12" customHeight="1" x14ac:dyDescent="0.3">
      <c r="A384" s="57"/>
      <c r="B384" s="51"/>
      <c r="C384" s="51"/>
      <c r="D384" s="51"/>
      <c r="E384" s="51"/>
      <c r="F384" s="51"/>
    </row>
    <row r="385" spans="1:6" s="69" customFormat="1" ht="12" customHeight="1" x14ac:dyDescent="0.3">
      <c r="A385" s="57"/>
      <c r="B385" s="51"/>
      <c r="C385" s="51"/>
      <c r="D385" s="51"/>
      <c r="E385" s="51"/>
      <c r="F385" s="51"/>
    </row>
    <row r="386" spans="1:6" s="69" customFormat="1" ht="12" customHeight="1" x14ac:dyDescent="0.3">
      <c r="A386" s="57"/>
      <c r="B386" s="51"/>
      <c r="C386" s="51"/>
      <c r="D386" s="51"/>
      <c r="E386" s="51"/>
      <c r="F386" s="51"/>
    </row>
    <row r="387" spans="1:6" s="69" customFormat="1" ht="12" customHeight="1" x14ac:dyDescent="0.3">
      <c r="A387" s="57"/>
      <c r="B387" s="51"/>
      <c r="C387" s="51"/>
      <c r="D387" s="51"/>
      <c r="E387" s="51"/>
      <c r="F387" s="51"/>
    </row>
    <row r="388" spans="1:6" s="69" customFormat="1" ht="12" customHeight="1" x14ac:dyDescent="0.3">
      <c r="A388" s="57"/>
      <c r="B388" s="51"/>
      <c r="C388" s="51"/>
      <c r="D388" s="51"/>
      <c r="E388" s="51"/>
      <c r="F388" s="51"/>
    </row>
    <row r="389" spans="1:6" s="69" customFormat="1" ht="12" customHeight="1" x14ac:dyDescent="0.3">
      <c r="A389" s="57"/>
      <c r="B389" s="51"/>
      <c r="C389" s="51"/>
      <c r="D389" s="51"/>
      <c r="E389" s="51"/>
      <c r="F389" s="51"/>
    </row>
    <row r="390" spans="1:6" s="69" customFormat="1" ht="12" customHeight="1" x14ac:dyDescent="0.3">
      <c r="A390" s="57"/>
      <c r="B390" s="51"/>
      <c r="C390" s="51"/>
      <c r="D390" s="51"/>
      <c r="E390" s="51"/>
      <c r="F390" s="51"/>
    </row>
    <row r="391" spans="1:6" s="69" customFormat="1" ht="12" customHeight="1" x14ac:dyDescent="0.3">
      <c r="A391" s="57"/>
      <c r="B391" s="51"/>
      <c r="C391" s="51"/>
      <c r="D391" s="51"/>
      <c r="E391" s="51"/>
      <c r="F391" s="51"/>
    </row>
    <row r="392" spans="1:6" s="69" customFormat="1" ht="12" customHeight="1" x14ac:dyDescent="0.3">
      <c r="A392" s="57"/>
      <c r="B392" s="51"/>
      <c r="C392" s="51"/>
      <c r="D392" s="51"/>
      <c r="E392" s="51"/>
      <c r="F392" s="51"/>
    </row>
    <row r="393" spans="1:6" s="69" customFormat="1" ht="12" customHeight="1" x14ac:dyDescent="0.3">
      <c r="A393" s="57"/>
      <c r="B393" s="51"/>
      <c r="C393" s="51"/>
      <c r="D393" s="51"/>
      <c r="E393" s="51"/>
      <c r="F393" s="51"/>
    </row>
    <row r="394" spans="1:6" s="69" customFormat="1" ht="12" customHeight="1" x14ac:dyDescent="0.3">
      <c r="A394" s="57"/>
      <c r="B394" s="51"/>
      <c r="C394" s="51"/>
      <c r="D394" s="51"/>
      <c r="E394" s="51"/>
      <c r="F394" s="51"/>
    </row>
    <row r="395" spans="1:6" s="69" customFormat="1" ht="12" customHeight="1" x14ac:dyDescent="0.3">
      <c r="A395" s="57"/>
      <c r="B395" s="51"/>
      <c r="C395" s="51"/>
      <c r="D395" s="51"/>
      <c r="E395" s="51"/>
      <c r="F395" s="51"/>
    </row>
    <row r="396" spans="1:6" s="69" customFormat="1" ht="12" customHeight="1" x14ac:dyDescent="0.3">
      <c r="A396" s="57"/>
      <c r="B396" s="51"/>
      <c r="C396" s="51"/>
      <c r="D396" s="51"/>
      <c r="E396" s="51"/>
      <c r="F396" s="51"/>
    </row>
    <row r="397" spans="1:6" s="69" customFormat="1" ht="12" customHeight="1" x14ac:dyDescent="0.3">
      <c r="A397" s="57"/>
      <c r="B397" s="51"/>
      <c r="C397" s="51"/>
      <c r="D397" s="51"/>
      <c r="E397" s="51"/>
      <c r="F397" s="51"/>
    </row>
    <row r="398" spans="1:6" s="69" customFormat="1" ht="12" customHeight="1" x14ac:dyDescent="0.3">
      <c r="A398" s="57"/>
      <c r="B398" s="51"/>
      <c r="C398" s="51"/>
      <c r="D398" s="51"/>
      <c r="E398" s="51"/>
      <c r="F398" s="51"/>
    </row>
    <row r="399" spans="1:6" s="69" customFormat="1" ht="12" customHeight="1" x14ac:dyDescent="0.3">
      <c r="A399" s="57"/>
      <c r="B399" s="51"/>
      <c r="C399" s="51"/>
      <c r="D399" s="51"/>
      <c r="E399" s="51"/>
      <c r="F399" s="51"/>
    </row>
    <row r="400" spans="1:6" s="69" customFormat="1" ht="12" customHeight="1" x14ac:dyDescent="0.3">
      <c r="A400" s="57"/>
      <c r="B400" s="51"/>
      <c r="C400" s="51"/>
      <c r="D400" s="51"/>
      <c r="E400" s="51"/>
      <c r="F400" s="51"/>
    </row>
    <row r="401" spans="1:6" s="69" customFormat="1" ht="12" customHeight="1" x14ac:dyDescent="0.3">
      <c r="A401" s="57"/>
      <c r="B401" s="51"/>
      <c r="C401" s="51"/>
      <c r="D401" s="51"/>
      <c r="E401" s="51"/>
      <c r="F401" s="51"/>
    </row>
    <row r="402" spans="1:6" s="69" customFormat="1" ht="12" customHeight="1" x14ac:dyDescent="0.3">
      <c r="A402" s="57"/>
      <c r="B402" s="51"/>
      <c r="C402" s="51"/>
      <c r="D402" s="51"/>
      <c r="E402" s="51"/>
      <c r="F402" s="51"/>
    </row>
    <row r="403" spans="1:6" s="69" customFormat="1" ht="12" customHeight="1" x14ac:dyDescent="0.3">
      <c r="A403" s="57"/>
      <c r="B403" s="51"/>
      <c r="C403" s="51"/>
      <c r="D403" s="51"/>
      <c r="E403" s="51"/>
      <c r="F403" s="51"/>
    </row>
    <row r="404" spans="1:6" s="69" customFormat="1" ht="12" customHeight="1" x14ac:dyDescent="0.3">
      <c r="A404" s="57"/>
      <c r="B404" s="51"/>
      <c r="C404" s="51"/>
      <c r="D404" s="51"/>
      <c r="E404" s="51"/>
      <c r="F404" s="51"/>
    </row>
    <row r="405" spans="1:6" s="69" customFormat="1" ht="12" customHeight="1" x14ac:dyDescent="0.3">
      <c r="A405" s="57"/>
      <c r="B405" s="51"/>
      <c r="C405" s="51"/>
      <c r="D405" s="51"/>
      <c r="E405" s="51"/>
      <c r="F405" s="51"/>
    </row>
    <row r="406" spans="1:6" s="69" customFormat="1" ht="12" customHeight="1" x14ac:dyDescent="0.3">
      <c r="A406" s="57"/>
      <c r="B406" s="51"/>
      <c r="C406" s="51"/>
      <c r="D406" s="51"/>
      <c r="E406" s="51"/>
      <c r="F406" s="51"/>
    </row>
    <row r="407" spans="1:6" s="69" customFormat="1" ht="12" customHeight="1" x14ac:dyDescent="0.3">
      <c r="A407" s="57"/>
      <c r="B407" s="51"/>
      <c r="C407" s="51"/>
      <c r="D407" s="51"/>
      <c r="E407" s="51"/>
      <c r="F407" s="51"/>
    </row>
    <row r="408" spans="1:6" s="69" customFormat="1" ht="12" customHeight="1" x14ac:dyDescent="0.3">
      <c r="A408" s="57"/>
      <c r="B408" s="51"/>
      <c r="C408" s="51"/>
      <c r="D408" s="51"/>
      <c r="E408" s="51"/>
      <c r="F408" s="51"/>
    </row>
    <row r="409" spans="1:6" s="69" customFormat="1" ht="12" customHeight="1" x14ac:dyDescent="0.3">
      <c r="A409" s="57"/>
      <c r="B409" s="51"/>
      <c r="C409" s="51"/>
      <c r="D409" s="51"/>
      <c r="E409" s="51"/>
      <c r="F409" s="51"/>
    </row>
    <row r="410" spans="1:6" s="69" customFormat="1" ht="12" customHeight="1" x14ac:dyDescent="0.3">
      <c r="A410" s="57"/>
      <c r="B410" s="51"/>
      <c r="C410" s="51"/>
      <c r="D410" s="51"/>
      <c r="E410" s="51"/>
      <c r="F410" s="51"/>
    </row>
    <row r="411" spans="1:6" s="69" customFormat="1" ht="12" customHeight="1" x14ac:dyDescent="0.3">
      <c r="A411" s="57"/>
      <c r="B411" s="51"/>
      <c r="C411" s="51"/>
      <c r="D411" s="51"/>
      <c r="E411" s="51"/>
      <c r="F411" s="51"/>
    </row>
    <row r="412" spans="1:6" s="69" customFormat="1" ht="12" customHeight="1" x14ac:dyDescent="0.3">
      <c r="A412" s="57"/>
      <c r="B412" s="51"/>
      <c r="C412" s="51"/>
      <c r="D412" s="51"/>
      <c r="E412" s="51"/>
      <c r="F412" s="51"/>
    </row>
    <row r="413" spans="1:6" s="69" customFormat="1" ht="12" customHeight="1" x14ac:dyDescent="0.3">
      <c r="A413" s="57"/>
      <c r="B413" s="51"/>
      <c r="C413" s="51"/>
      <c r="D413" s="51"/>
      <c r="E413" s="51"/>
      <c r="F413" s="51"/>
    </row>
    <row r="414" spans="1:6" s="69" customFormat="1" ht="12" customHeight="1" x14ac:dyDescent="0.3">
      <c r="A414" s="57"/>
      <c r="B414" s="51"/>
      <c r="C414" s="51"/>
      <c r="D414" s="51"/>
      <c r="E414" s="51"/>
      <c r="F414" s="51"/>
    </row>
    <row r="415" spans="1:6" s="69" customFormat="1" ht="12" customHeight="1" x14ac:dyDescent="0.3">
      <c r="A415" s="57"/>
      <c r="B415" s="51"/>
      <c r="C415" s="51"/>
      <c r="D415" s="51"/>
      <c r="E415" s="51"/>
      <c r="F415" s="51"/>
    </row>
    <row r="416" spans="1:6" s="69" customFormat="1" ht="12" customHeight="1" x14ac:dyDescent="0.3">
      <c r="A416" s="57"/>
      <c r="B416" s="51"/>
      <c r="C416" s="51"/>
      <c r="D416" s="51"/>
      <c r="E416" s="51"/>
      <c r="F416" s="51"/>
    </row>
    <row r="417" spans="1:6" s="69" customFormat="1" ht="12" customHeight="1" x14ac:dyDescent="0.3">
      <c r="A417" s="57"/>
      <c r="B417" s="51"/>
      <c r="C417" s="51"/>
      <c r="D417" s="51"/>
      <c r="E417" s="51"/>
      <c r="F417" s="51"/>
    </row>
    <row r="418" spans="1:6" s="69" customFormat="1" ht="12" customHeight="1" x14ac:dyDescent="0.3">
      <c r="A418" s="57"/>
      <c r="B418" s="51"/>
      <c r="C418" s="51"/>
      <c r="D418" s="51"/>
      <c r="E418" s="51"/>
      <c r="F418" s="51"/>
    </row>
    <row r="419" spans="1:6" s="69" customFormat="1" ht="12" customHeight="1" x14ac:dyDescent="0.3">
      <c r="A419" s="57"/>
      <c r="B419" s="51"/>
      <c r="C419" s="51"/>
      <c r="D419" s="51"/>
      <c r="E419" s="51"/>
      <c r="F419" s="51"/>
    </row>
    <row r="420" spans="1:6" s="69" customFormat="1" ht="12" customHeight="1" x14ac:dyDescent="0.3">
      <c r="A420" s="57"/>
      <c r="B420" s="51"/>
      <c r="C420" s="51"/>
      <c r="D420" s="51"/>
      <c r="E420" s="51"/>
      <c r="F420" s="51"/>
    </row>
    <row r="421" spans="1:6" s="69" customFormat="1" ht="12" customHeight="1" x14ac:dyDescent="0.3">
      <c r="A421" s="57"/>
      <c r="B421" s="51"/>
      <c r="C421" s="51"/>
      <c r="D421" s="51"/>
      <c r="E421" s="51"/>
      <c r="F421" s="51"/>
    </row>
    <row r="422" spans="1:6" s="69" customFormat="1" ht="12" customHeight="1" x14ac:dyDescent="0.3">
      <c r="A422" s="57"/>
      <c r="B422" s="51"/>
      <c r="C422" s="51"/>
      <c r="D422" s="51"/>
      <c r="E422" s="51"/>
      <c r="F422" s="51"/>
    </row>
    <row r="423" spans="1:6" s="69" customFormat="1" ht="12" customHeight="1" x14ac:dyDescent="0.3">
      <c r="A423" s="57"/>
      <c r="B423" s="51"/>
      <c r="C423" s="51"/>
      <c r="D423" s="51"/>
      <c r="E423" s="51"/>
      <c r="F423" s="51"/>
    </row>
    <row r="424" spans="1:6" s="69" customFormat="1" ht="12" customHeight="1" x14ac:dyDescent="0.3">
      <c r="A424" s="57"/>
      <c r="B424" s="51"/>
      <c r="C424" s="51"/>
      <c r="D424" s="51"/>
      <c r="E424" s="51"/>
      <c r="F424" s="51"/>
    </row>
    <row r="425" spans="1:6" s="69" customFormat="1" ht="12" customHeight="1" x14ac:dyDescent="0.3">
      <c r="A425" s="57"/>
      <c r="B425" s="51"/>
      <c r="C425" s="51"/>
      <c r="D425" s="51"/>
      <c r="E425" s="51"/>
      <c r="F425" s="51"/>
    </row>
    <row r="426" spans="1:6" s="69" customFormat="1" ht="12" customHeight="1" x14ac:dyDescent="0.3">
      <c r="A426" s="57"/>
      <c r="B426" s="51"/>
      <c r="C426" s="51"/>
      <c r="D426" s="51"/>
      <c r="E426" s="51"/>
      <c r="F426" s="51"/>
    </row>
    <row r="427" spans="1:6" s="69" customFormat="1" ht="12" customHeight="1" x14ac:dyDescent="0.3">
      <c r="A427" s="57"/>
      <c r="B427" s="51"/>
      <c r="C427" s="51"/>
      <c r="D427" s="51"/>
      <c r="E427" s="51"/>
      <c r="F427" s="51"/>
    </row>
    <row r="428" spans="1:6" s="69" customFormat="1" ht="12" customHeight="1" x14ac:dyDescent="0.3">
      <c r="A428" s="57"/>
      <c r="B428" s="51"/>
      <c r="C428" s="51"/>
      <c r="D428" s="51"/>
      <c r="E428" s="51"/>
      <c r="F428" s="51"/>
    </row>
    <row r="429" spans="1:6" s="69" customFormat="1" ht="12" customHeight="1" x14ac:dyDescent="0.3">
      <c r="A429" s="57"/>
      <c r="B429" s="51"/>
      <c r="C429" s="51"/>
      <c r="D429" s="51"/>
      <c r="E429" s="51"/>
      <c r="F429" s="51"/>
    </row>
    <row r="430" spans="1:6" s="69" customFormat="1" ht="12" customHeight="1" x14ac:dyDescent="0.3">
      <c r="A430" s="57"/>
      <c r="B430" s="51"/>
      <c r="C430" s="51"/>
      <c r="D430" s="51"/>
      <c r="E430" s="51"/>
      <c r="F430" s="51"/>
    </row>
    <row r="431" spans="1:6" s="69" customFormat="1" ht="12" customHeight="1" x14ac:dyDescent="0.3">
      <c r="A431" s="57"/>
      <c r="B431" s="51"/>
      <c r="C431" s="51"/>
      <c r="D431" s="51"/>
      <c r="E431" s="51"/>
      <c r="F431" s="51"/>
    </row>
    <row r="432" spans="1:6" s="69" customFormat="1" ht="12" customHeight="1" x14ac:dyDescent="0.3">
      <c r="A432" s="57"/>
      <c r="B432" s="51"/>
      <c r="C432" s="51"/>
      <c r="D432" s="51"/>
      <c r="E432" s="51"/>
      <c r="F432" s="51"/>
    </row>
    <row r="433" spans="1:6" s="69" customFormat="1" ht="12" customHeight="1" x14ac:dyDescent="0.3">
      <c r="A433" s="57"/>
      <c r="B433" s="51"/>
      <c r="C433" s="51"/>
      <c r="D433" s="51"/>
      <c r="E433" s="51"/>
      <c r="F433" s="51"/>
    </row>
    <row r="434" spans="1:6" s="69" customFormat="1" ht="12" customHeight="1" x14ac:dyDescent="0.3">
      <c r="A434" s="57"/>
      <c r="B434" s="51"/>
      <c r="C434" s="51"/>
      <c r="D434" s="51"/>
      <c r="E434" s="51"/>
      <c r="F434" s="51"/>
    </row>
    <row r="435" spans="1:6" s="69" customFormat="1" ht="12" customHeight="1" x14ac:dyDescent="0.3">
      <c r="A435" s="57"/>
      <c r="B435" s="51"/>
      <c r="C435" s="51"/>
      <c r="D435" s="51"/>
      <c r="E435" s="51"/>
      <c r="F435" s="51"/>
    </row>
    <row r="436" spans="1:6" s="69" customFormat="1" ht="12" customHeight="1" x14ac:dyDescent="0.3">
      <c r="A436" s="57"/>
      <c r="B436" s="51"/>
      <c r="C436" s="51"/>
      <c r="D436" s="51"/>
      <c r="E436" s="51"/>
      <c r="F436" s="51"/>
    </row>
    <row r="437" spans="1:6" s="69" customFormat="1" ht="12" customHeight="1" x14ac:dyDescent="0.3">
      <c r="A437" s="57"/>
      <c r="B437" s="51"/>
      <c r="C437" s="51"/>
      <c r="D437" s="51"/>
      <c r="E437" s="51"/>
      <c r="F437" s="51"/>
    </row>
    <row r="438" spans="1:6" s="69" customFormat="1" ht="12" customHeight="1" x14ac:dyDescent="0.3">
      <c r="A438" s="57"/>
      <c r="B438" s="51"/>
      <c r="C438" s="51"/>
      <c r="D438" s="51"/>
      <c r="E438" s="51"/>
      <c r="F438" s="51"/>
    </row>
    <row r="439" spans="1:6" s="69" customFormat="1" ht="12" customHeight="1" x14ac:dyDescent="0.3">
      <c r="A439" s="57"/>
      <c r="B439" s="51"/>
      <c r="C439" s="51"/>
      <c r="D439" s="51"/>
      <c r="E439" s="51"/>
      <c r="F439" s="51"/>
    </row>
    <row r="440" spans="1:6" s="69" customFormat="1" ht="12" customHeight="1" x14ac:dyDescent="0.3">
      <c r="A440" s="57"/>
      <c r="B440" s="51"/>
      <c r="C440" s="51"/>
      <c r="D440" s="51"/>
      <c r="E440" s="51"/>
      <c r="F440" s="51"/>
    </row>
    <row r="441" spans="1:6" s="69" customFormat="1" ht="12" customHeight="1" x14ac:dyDescent="0.3">
      <c r="A441" s="57"/>
      <c r="B441" s="51"/>
      <c r="C441" s="51"/>
      <c r="D441" s="51"/>
      <c r="E441" s="51"/>
      <c r="F441" s="51"/>
    </row>
    <row r="442" spans="1:6" s="69" customFormat="1" ht="12" customHeight="1" x14ac:dyDescent="0.3">
      <c r="A442" s="57"/>
      <c r="B442" s="51"/>
      <c r="C442" s="51"/>
      <c r="D442" s="51"/>
      <c r="E442" s="51"/>
      <c r="F442" s="51"/>
    </row>
    <row r="443" spans="1:6" s="69" customFormat="1" ht="12" customHeight="1" x14ac:dyDescent="0.3">
      <c r="A443" s="57"/>
      <c r="B443" s="51"/>
      <c r="C443" s="51"/>
      <c r="D443" s="51"/>
      <c r="E443" s="51"/>
      <c r="F443" s="51"/>
    </row>
    <row r="444" spans="1:6" s="69" customFormat="1" ht="12" customHeight="1" x14ac:dyDescent="0.3">
      <c r="A444" s="57"/>
      <c r="B444" s="51"/>
      <c r="C444" s="51"/>
      <c r="D444" s="51"/>
      <c r="E444" s="51"/>
      <c r="F444" s="51"/>
    </row>
    <row r="445" spans="1:6" s="69" customFormat="1" ht="12" customHeight="1" x14ac:dyDescent="0.3">
      <c r="A445" s="57"/>
      <c r="B445" s="51"/>
      <c r="C445" s="51"/>
      <c r="D445" s="51"/>
      <c r="E445" s="51"/>
      <c r="F445" s="51"/>
    </row>
    <row r="446" spans="1:6" s="69" customFormat="1" ht="12" customHeight="1" x14ac:dyDescent="0.3">
      <c r="A446" s="57"/>
      <c r="B446" s="51"/>
      <c r="C446" s="51"/>
      <c r="D446" s="51"/>
      <c r="E446" s="51"/>
      <c r="F446" s="51"/>
    </row>
    <row r="447" spans="1:6" s="69" customFormat="1" ht="12" customHeight="1" x14ac:dyDescent="0.3">
      <c r="A447" s="57"/>
      <c r="B447" s="51"/>
      <c r="C447" s="51"/>
      <c r="D447" s="51"/>
      <c r="E447" s="51"/>
      <c r="F447" s="51"/>
    </row>
    <row r="448" spans="1:6" s="69" customFormat="1" ht="12" customHeight="1" x14ac:dyDescent="0.3">
      <c r="A448" s="57"/>
      <c r="B448" s="51"/>
      <c r="C448" s="51"/>
      <c r="D448" s="51"/>
      <c r="E448" s="51"/>
      <c r="F448" s="51"/>
    </row>
    <row r="449" spans="1:6" s="69" customFormat="1" ht="12" customHeight="1" x14ac:dyDescent="0.3">
      <c r="A449" s="57"/>
      <c r="B449" s="51"/>
      <c r="C449" s="51"/>
      <c r="D449" s="51"/>
      <c r="E449" s="51"/>
      <c r="F449" s="51"/>
    </row>
    <row r="450" spans="1:6" s="69" customFormat="1" ht="12" customHeight="1" x14ac:dyDescent="0.3">
      <c r="A450" s="57"/>
      <c r="B450" s="51"/>
      <c r="C450" s="51"/>
      <c r="D450" s="51"/>
      <c r="E450" s="51"/>
      <c r="F450" s="51"/>
    </row>
    <row r="451" spans="1:6" s="69" customFormat="1" ht="12" customHeight="1" x14ac:dyDescent="0.3">
      <c r="A451" s="57"/>
      <c r="B451" s="51"/>
      <c r="C451" s="51"/>
      <c r="D451" s="51"/>
      <c r="E451" s="51"/>
      <c r="F451" s="51"/>
    </row>
    <row r="452" spans="1:6" s="69" customFormat="1" ht="12" customHeight="1" x14ac:dyDescent="0.3">
      <c r="A452" s="57"/>
      <c r="B452" s="51"/>
      <c r="C452" s="51"/>
      <c r="D452" s="51"/>
      <c r="E452" s="51"/>
      <c r="F452" s="51"/>
    </row>
    <row r="453" spans="1:6" s="69" customFormat="1" ht="12" customHeight="1" x14ac:dyDescent="0.3">
      <c r="A453" s="57"/>
      <c r="B453" s="51"/>
      <c r="C453" s="51"/>
      <c r="D453" s="51"/>
      <c r="E453" s="51"/>
      <c r="F453" s="51"/>
    </row>
    <row r="454" spans="1:6" s="69" customFormat="1" ht="12" customHeight="1" x14ac:dyDescent="0.3">
      <c r="A454" s="57"/>
      <c r="B454" s="51"/>
      <c r="C454" s="51"/>
      <c r="D454" s="51"/>
      <c r="E454" s="51"/>
      <c r="F454" s="51"/>
    </row>
    <row r="455" spans="1:6" s="69" customFormat="1" ht="12" customHeight="1" x14ac:dyDescent="0.3">
      <c r="A455" s="57"/>
      <c r="B455" s="51"/>
      <c r="C455" s="51"/>
      <c r="D455" s="51"/>
      <c r="E455" s="51"/>
      <c r="F455" s="51"/>
    </row>
    <row r="456" spans="1:6" s="69" customFormat="1" ht="12" customHeight="1" x14ac:dyDescent="0.3">
      <c r="A456" s="57"/>
      <c r="B456" s="51"/>
      <c r="C456" s="51"/>
      <c r="D456" s="51"/>
      <c r="E456" s="51"/>
      <c r="F456" s="51"/>
    </row>
    <row r="457" spans="1:6" s="69" customFormat="1" ht="12" customHeight="1" x14ac:dyDescent="0.3">
      <c r="A457" s="57"/>
      <c r="B457" s="51"/>
      <c r="C457" s="51"/>
      <c r="D457" s="51"/>
      <c r="E457" s="51"/>
      <c r="F457" s="51"/>
    </row>
    <row r="458" spans="1:6" s="69" customFormat="1" ht="12" customHeight="1" x14ac:dyDescent="0.3">
      <c r="A458" s="57"/>
      <c r="B458" s="51"/>
      <c r="C458" s="51"/>
      <c r="D458" s="51"/>
      <c r="E458" s="51"/>
      <c r="F458" s="51"/>
    </row>
    <row r="459" spans="1:6" s="69" customFormat="1" ht="12" customHeight="1" x14ac:dyDescent="0.3">
      <c r="A459" s="57"/>
      <c r="B459" s="51"/>
      <c r="C459" s="51"/>
      <c r="D459" s="51"/>
      <c r="E459" s="51"/>
      <c r="F459" s="51"/>
    </row>
    <row r="460" spans="1:6" s="69" customFormat="1" ht="12" customHeight="1" x14ac:dyDescent="0.3">
      <c r="A460" s="57"/>
      <c r="B460" s="51"/>
      <c r="C460" s="51"/>
      <c r="D460" s="51"/>
      <c r="E460" s="51"/>
      <c r="F460" s="51"/>
    </row>
    <row r="461" spans="1:6" s="69" customFormat="1" ht="12" customHeight="1" x14ac:dyDescent="0.3">
      <c r="A461" s="57"/>
      <c r="B461" s="51"/>
      <c r="C461" s="51"/>
      <c r="D461" s="51"/>
      <c r="E461" s="51"/>
      <c r="F461" s="51"/>
    </row>
    <row r="462" spans="1:6" s="69" customFormat="1" ht="12" customHeight="1" x14ac:dyDescent="0.3">
      <c r="A462" s="57"/>
      <c r="B462" s="51"/>
      <c r="C462" s="51"/>
      <c r="D462" s="51"/>
      <c r="E462" s="51"/>
      <c r="F462" s="51"/>
    </row>
    <row r="463" spans="1:6" s="69" customFormat="1" ht="12" customHeight="1" x14ac:dyDescent="0.3">
      <c r="A463" s="57"/>
      <c r="B463" s="51"/>
      <c r="C463" s="51"/>
      <c r="D463" s="51"/>
      <c r="E463" s="51"/>
      <c r="F463" s="51"/>
    </row>
    <row r="464" spans="1:6" s="69" customFormat="1" ht="12" customHeight="1" x14ac:dyDescent="0.3">
      <c r="A464" s="57"/>
      <c r="B464" s="51"/>
      <c r="C464" s="51"/>
      <c r="D464" s="51"/>
      <c r="E464" s="51"/>
      <c r="F464" s="51"/>
    </row>
    <row r="465" spans="1:6" s="69" customFormat="1" ht="12" customHeight="1" x14ac:dyDescent="0.3">
      <c r="A465" s="57"/>
      <c r="B465" s="51"/>
      <c r="C465" s="51"/>
      <c r="D465" s="51"/>
      <c r="E465" s="51"/>
      <c r="F465" s="51"/>
    </row>
    <row r="466" spans="1:6" s="69" customFormat="1" ht="12" customHeight="1" x14ac:dyDescent="0.3">
      <c r="A466" s="57"/>
      <c r="B466" s="51"/>
      <c r="C466" s="51"/>
      <c r="D466" s="51"/>
      <c r="E466" s="51"/>
      <c r="F466" s="51"/>
    </row>
    <row r="467" spans="1:6" s="69" customFormat="1" ht="12" customHeight="1" x14ac:dyDescent="0.3">
      <c r="A467" s="57"/>
      <c r="B467" s="51"/>
      <c r="C467" s="51"/>
      <c r="D467" s="51"/>
      <c r="E467" s="51"/>
      <c r="F467" s="51"/>
    </row>
    <row r="468" spans="1:6" s="69" customFormat="1" ht="12" customHeight="1" x14ac:dyDescent="0.3">
      <c r="A468" s="57"/>
      <c r="B468" s="51"/>
      <c r="C468" s="51"/>
      <c r="D468" s="51"/>
      <c r="E468" s="51"/>
      <c r="F468" s="51"/>
    </row>
    <row r="469" spans="1:6" s="69" customFormat="1" ht="12" customHeight="1" x14ac:dyDescent="0.3">
      <c r="A469" s="57"/>
      <c r="B469" s="51"/>
      <c r="C469" s="51"/>
      <c r="D469" s="51"/>
      <c r="E469" s="51"/>
      <c r="F469" s="51"/>
    </row>
    <row r="470" spans="1:6" s="69" customFormat="1" ht="12" customHeight="1" x14ac:dyDescent="0.3">
      <c r="A470" s="57"/>
      <c r="B470" s="51"/>
      <c r="C470" s="51"/>
      <c r="D470" s="51"/>
      <c r="E470" s="51"/>
      <c r="F470" s="51"/>
    </row>
    <row r="471" spans="1:6" s="69" customFormat="1" ht="12" customHeight="1" x14ac:dyDescent="0.3">
      <c r="A471" s="57"/>
      <c r="B471" s="51"/>
      <c r="C471" s="51"/>
      <c r="D471" s="51"/>
      <c r="E471" s="51"/>
      <c r="F471" s="51"/>
    </row>
    <row r="472" spans="1:6" s="69" customFormat="1" ht="12" customHeight="1" x14ac:dyDescent="0.3">
      <c r="A472" s="57"/>
      <c r="B472" s="51"/>
      <c r="C472" s="51"/>
      <c r="D472" s="51"/>
      <c r="E472" s="51"/>
      <c r="F472" s="51"/>
    </row>
    <row r="473" spans="1:6" s="69" customFormat="1" ht="12" customHeight="1" x14ac:dyDescent="0.3">
      <c r="A473" s="57"/>
      <c r="B473" s="51"/>
      <c r="C473" s="51"/>
      <c r="D473" s="51"/>
      <c r="E473" s="51"/>
      <c r="F473" s="51"/>
    </row>
    <row r="474" spans="1:6" s="69" customFormat="1" ht="12" customHeight="1" x14ac:dyDescent="0.3">
      <c r="A474" s="57"/>
      <c r="B474" s="51"/>
      <c r="C474" s="51"/>
      <c r="D474" s="51"/>
      <c r="E474" s="51"/>
      <c r="F474" s="51"/>
    </row>
    <row r="475" spans="1:6" s="69" customFormat="1" ht="12" customHeight="1" x14ac:dyDescent="0.3">
      <c r="A475" s="57"/>
      <c r="B475" s="51"/>
      <c r="C475" s="51"/>
      <c r="D475" s="51"/>
      <c r="E475" s="51"/>
      <c r="F475" s="51"/>
    </row>
    <row r="476" spans="1:6" s="69" customFormat="1" ht="12" customHeight="1" x14ac:dyDescent="0.3">
      <c r="A476" s="57"/>
      <c r="B476" s="51"/>
      <c r="C476" s="51"/>
      <c r="D476" s="51"/>
      <c r="E476" s="51"/>
      <c r="F476" s="51"/>
    </row>
    <row r="477" spans="1:6" s="69" customFormat="1" ht="12" customHeight="1" x14ac:dyDescent="0.3">
      <c r="A477" s="57"/>
      <c r="B477" s="51"/>
      <c r="C477" s="51"/>
      <c r="D477" s="51"/>
      <c r="E477" s="51"/>
      <c r="F477" s="51"/>
    </row>
    <row r="478" spans="1:6" s="69" customFormat="1" ht="12" customHeight="1" x14ac:dyDescent="0.3">
      <c r="A478" s="57"/>
      <c r="B478" s="51"/>
      <c r="C478" s="51"/>
      <c r="D478" s="51"/>
      <c r="E478" s="51"/>
      <c r="F478" s="51"/>
    </row>
    <row r="479" spans="1:6" s="69" customFormat="1" ht="12" customHeight="1" x14ac:dyDescent="0.3">
      <c r="A479" s="57"/>
      <c r="B479" s="51"/>
      <c r="C479" s="51"/>
      <c r="D479" s="51"/>
      <c r="E479" s="51"/>
      <c r="F479" s="51"/>
    </row>
    <row r="480" spans="1:6" s="69" customFormat="1" ht="12" customHeight="1" x14ac:dyDescent="0.3">
      <c r="A480" s="57"/>
      <c r="B480" s="51"/>
      <c r="C480" s="51"/>
      <c r="D480" s="51"/>
      <c r="E480" s="51"/>
      <c r="F480" s="51"/>
    </row>
    <row r="481" spans="1:6" s="69" customFormat="1" ht="12" customHeight="1" x14ac:dyDescent="0.3">
      <c r="A481" s="57"/>
      <c r="B481" s="51"/>
      <c r="C481" s="51"/>
      <c r="D481" s="51"/>
      <c r="E481" s="51"/>
      <c r="F481" s="51"/>
    </row>
    <row r="482" spans="1:6" s="69" customFormat="1" ht="12" customHeight="1" x14ac:dyDescent="0.3">
      <c r="A482" s="57"/>
      <c r="B482" s="51"/>
      <c r="C482" s="51"/>
      <c r="D482" s="51"/>
      <c r="E482" s="51"/>
      <c r="F482" s="51"/>
    </row>
    <row r="483" spans="1:6" s="69" customFormat="1" ht="12" customHeight="1" x14ac:dyDescent="0.3">
      <c r="A483" s="57"/>
      <c r="B483" s="51"/>
      <c r="C483" s="51"/>
      <c r="D483" s="51"/>
      <c r="E483" s="51"/>
      <c r="F483" s="51"/>
    </row>
    <row r="484" spans="1:6" s="69" customFormat="1" ht="12" customHeight="1" x14ac:dyDescent="0.3">
      <c r="A484" s="57"/>
      <c r="B484" s="51"/>
      <c r="C484" s="51"/>
      <c r="D484" s="51"/>
      <c r="E484" s="51"/>
      <c r="F484" s="51"/>
    </row>
    <row r="485" spans="1:6" s="69" customFormat="1" ht="12" customHeight="1" x14ac:dyDescent="0.3">
      <c r="A485" s="57"/>
      <c r="B485" s="51"/>
      <c r="C485" s="51"/>
      <c r="D485" s="51"/>
      <c r="E485" s="51"/>
      <c r="F485" s="51"/>
    </row>
    <row r="486" spans="1:6" s="69" customFormat="1" ht="12" customHeight="1" x14ac:dyDescent="0.3">
      <c r="A486" s="57"/>
      <c r="B486" s="51"/>
      <c r="C486" s="51"/>
      <c r="D486" s="51"/>
      <c r="E486" s="51"/>
      <c r="F486" s="51"/>
    </row>
    <row r="487" spans="1:6" s="69" customFormat="1" ht="12" customHeight="1" x14ac:dyDescent="0.3">
      <c r="A487" s="57"/>
      <c r="B487" s="51"/>
      <c r="C487" s="51"/>
      <c r="D487" s="51"/>
      <c r="E487" s="51"/>
      <c r="F487" s="51"/>
    </row>
    <row r="488" spans="1:6" s="69" customFormat="1" ht="12" customHeight="1" x14ac:dyDescent="0.3">
      <c r="A488" s="57"/>
      <c r="B488" s="51"/>
      <c r="C488" s="51"/>
      <c r="D488" s="51"/>
      <c r="E488" s="51"/>
      <c r="F488" s="51"/>
    </row>
    <row r="489" spans="1:6" s="69" customFormat="1" ht="12" customHeight="1" x14ac:dyDescent="0.3">
      <c r="A489" s="57"/>
      <c r="B489" s="51"/>
      <c r="C489" s="51"/>
      <c r="D489" s="51"/>
      <c r="E489" s="51"/>
      <c r="F489" s="51"/>
    </row>
    <row r="490" spans="1:6" s="69" customFormat="1" ht="12" customHeight="1" x14ac:dyDescent="0.3">
      <c r="A490" s="57"/>
      <c r="B490" s="51"/>
      <c r="C490" s="51"/>
      <c r="D490" s="51"/>
      <c r="E490" s="51"/>
      <c r="F490" s="51"/>
    </row>
    <row r="491" spans="1:6" s="69" customFormat="1" ht="12" customHeight="1" x14ac:dyDescent="0.3">
      <c r="A491" s="57"/>
      <c r="B491" s="51"/>
      <c r="C491" s="51"/>
      <c r="D491" s="51"/>
      <c r="E491" s="51"/>
      <c r="F491" s="51"/>
    </row>
    <row r="492" spans="1:6" s="69" customFormat="1" ht="12" customHeight="1" x14ac:dyDescent="0.3">
      <c r="A492" s="57"/>
      <c r="B492" s="51"/>
      <c r="C492" s="51"/>
      <c r="D492" s="51"/>
      <c r="E492" s="51"/>
      <c r="F492" s="51"/>
    </row>
    <row r="493" spans="1:6" s="69" customFormat="1" ht="12" customHeight="1" x14ac:dyDescent="0.3">
      <c r="A493" s="57"/>
      <c r="B493" s="51"/>
      <c r="C493" s="51"/>
      <c r="D493" s="51"/>
      <c r="E493" s="51"/>
      <c r="F493" s="51"/>
    </row>
    <row r="494" spans="1:6" s="69" customFormat="1" ht="12" customHeight="1" x14ac:dyDescent="0.3">
      <c r="A494" s="57"/>
      <c r="B494" s="51"/>
      <c r="C494" s="51"/>
      <c r="D494" s="51"/>
      <c r="E494" s="51"/>
      <c r="F494" s="51"/>
    </row>
    <row r="495" spans="1:6" s="69" customFormat="1" ht="12" customHeight="1" x14ac:dyDescent="0.3">
      <c r="A495" s="57"/>
      <c r="B495" s="51"/>
      <c r="C495" s="51"/>
      <c r="D495" s="51"/>
      <c r="E495" s="51"/>
      <c r="F495" s="51"/>
    </row>
    <row r="496" spans="1:6" s="69" customFormat="1" ht="12" customHeight="1" x14ac:dyDescent="0.3">
      <c r="A496" s="57"/>
      <c r="B496" s="51"/>
      <c r="C496" s="51"/>
      <c r="D496" s="51"/>
      <c r="E496" s="51"/>
      <c r="F496" s="51"/>
    </row>
    <row r="497" spans="1:6" s="69" customFormat="1" ht="12" customHeight="1" x14ac:dyDescent="0.3">
      <c r="A497" s="57"/>
      <c r="B497" s="51"/>
      <c r="C497" s="51"/>
      <c r="D497" s="51"/>
      <c r="E497" s="51"/>
      <c r="F497" s="51"/>
    </row>
    <row r="498" spans="1:6" s="69" customFormat="1" ht="12" customHeight="1" x14ac:dyDescent="0.3">
      <c r="A498" s="57"/>
      <c r="B498" s="51"/>
      <c r="C498" s="51"/>
      <c r="D498" s="51"/>
      <c r="E498" s="51"/>
      <c r="F498" s="51"/>
    </row>
    <row r="499" spans="1:6" s="69" customFormat="1" ht="12" customHeight="1" x14ac:dyDescent="0.3">
      <c r="A499" s="57"/>
      <c r="B499" s="51"/>
      <c r="C499" s="51"/>
      <c r="D499" s="51"/>
      <c r="E499" s="51"/>
      <c r="F499" s="51"/>
    </row>
    <row r="500" spans="1:6" s="69" customFormat="1" ht="12" customHeight="1" x14ac:dyDescent="0.3">
      <c r="A500" s="57"/>
      <c r="B500" s="51"/>
      <c r="C500" s="51"/>
      <c r="D500" s="51"/>
      <c r="E500" s="51"/>
      <c r="F500" s="51"/>
    </row>
    <row r="501" spans="1:6" s="69" customFormat="1" ht="12" customHeight="1" x14ac:dyDescent="0.3">
      <c r="A501" s="57"/>
      <c r="B501" s="51"/>
      <c r="C501" s="51"/>
      <c r="D501" s="51"/>
      <c r="E501" s="51"/>
      <c r="F501" s="51"/>
    </row>
    <row r="502" spans="1:6" s="69" customFormat="1" ht="12" customHeight="1" x14ac:dyDescent="0.3">
      <c r="A502" s="57"/>
      <c r="B502" s="51"/>
      <c r="C502" s="51"/>
      <c r="D502" s="51"/>
      <c r="E502" s="51"/>
      <c r="F502" s="51"/>
    </row>
    <row r="503" spans="1:6" s="69" customFormat="1" ht="12" customHeight="1" x14ac:dyDescent="0.3">
      <c r="A503" s="57"/>
      <c r="B503" s="51"/>
      <c r="C503" s="51"/>
      <c r="D503" s="51"/>
      <c r="E503" s="51"/>
      <c r="F503" s="51"/>
    </row>
    <row r="504" spans="1:6" s="69" customFormat="1" ht="12" customHeight="1" x14ac:dyDescent="0.3">
      <c r="A504" s="57"/>
      <c r="B504" s="51"/>
      <c r="C504" s="51"/>
      <c r="D504" s="51"/>
      <c r="E504" s="51"/>
      <c r="F504" s="51"/>
    </row>
    <row r="505" spans="1:6" s="69" customFormat="1" ht="12" customHeight="1" x14ac:dyDescent="0.3">
      <c r="A505" s="57"/>
      <c r="B505" s="51"/>
      <c r="C505" s="51"/>
      <c r="D505" s="51"/>
      <c r="E505" s="51"/>
      <c r="F505" s="51"/>
    </row>
    <row r="506" spans="1:6" s="69" customFormat="1" ht="12" customHeight="1" x14ac:dyDescent="0.3">
      <c r="A506" s="57"/>
      <c r="B506" s="51"/>
      <c r="C506" s="51"/>
      <c r="D506" s="51"/>
      <c r="E506" s="51"/>
      <c r="F506" s="51"/>
    </row>
    <row r="507" spans="1:6" s="69" customFormat="1" ht="12" customHeight="1" x14ac:dyDescent="0.3">
      <c r="A507" s="57"/>
      <c r="B507" s="51"/>
      <c r="C507" s="51"/>
      <c r="D507" s="51"/>
      <c r="E507" s="51"/>
      <c r="F507" s="51"/>
    </row>
    <row r="508" spans="1:6" s="69" customFormat="1" ht="12" customHeight="1" x14ac:dyDescent="0.3">
      <c r="A508" s="57"/>
      <c r="B508" s="51"/>
      <c r="C508" s="51"/>
      <c r="D508" s="51"/>
      <c r="E508" s="51"/>
      <c r="F508" s="51"/>
    </row>
    <row r="509" spans="1:6" s="69" customFormat="1" ht="12" customHeight="1" x14ac:dyDescent="0.3">
      <c r="A509" s="57"/>
      <c r="B509" s="51"/>
      <c r="C509" s="51"/>
      <c r="D509" s="51"/>
      <c r="E509" s="51"/>
      <c r="F509" s="51"/>
    </row>
    <row r="510" spans="1:6" s="69" customFormat="1" ht="12" customHeight="1" x14ac:dyDescent="0.3">
      <c r="A510" s="57"/>
      <c r="B510" s="51"/>
      <c r="C510" s="51"/>
      <c r="D510" s="51"/>
      <c r="E510" s="51"/>
      <c r="F510" s="51"/>
    </row>
    <row r="511" spans="1:6" s="69" customFormat="1" ht="12" customHeight="1" x14ac:dyDescent="0.3">
      <c r="A511" s="57"/>
      <c r="B511" s="51"/>
      <c r="C511" s="51"/>
      <c r="D511" s="51"/>
      <c r="E511" s="51"/>
      <c r="F511" s="51"/>
    </row>
    <row r="512" spans="1:6" s="69" customFormat="1" ht="12" customHeight="1" x14ac:dyDescent="0.3">
      <c r="A512" s="57"/>
      <c r="B512" s="51"/>
      <c r="C512" s="51"/>
      <c r="D512" s="51"/>
      <c r="E512" s="51"/>
      <c r="F512" s="51"/>
    </row>
    <row r="513" spans="1:6" s="69" customFormat="1" ht="12" customHeight="1" x14ac:dyDescent="0.3">
      <c r="A513" s="57"/>
      <c r="B513" s="51"/>
      <c r="C513" s="51"/>
      <c r="D513" s="51"/>
      <c r="E513" s="51"/>
      <c r="F513" s="51"/>
    </row>
    <row r="514" spans="1:6" s="69" customFormat="1" ht="12" customHeight="1" x14ac:dyDescent="0.3">
      <c r="A514" s="57"/>
      <c r="B514" s="51"/>
      <c r="C514" s="51"/>
      <c r="D514" s="51"/>
      <c r="E514" s="51"/>
      <c r="F514" s="51"/>
    </row>
    <row r="515" spans="1:6" s="69" customFormat="1" ht="12" customHeight="1" x14ac:dyDescent="0.3">
      <c r="A515" s="57"/>
      <c r="B515" s="51"/>
      <c r="C515" s="51"/>
      <c r="D515" s="51"/>
      <c r="E515" s="51"/>
      <c r="F515" s="51"/>
    </row>
    <row r="516" spans="1:6" s="69" customFormat="1" ht="12" customHeight="1" x14ac:dyDescent="0.3">
      <c r="A516" s="57"/>
      <c r="B516" s="51"/>
      <c r="C516" s="51"/>
      <c r="D516" s="51"/>
      <c r="E516" s="51"/>
      <c r="F516" s="51"/>
    </row>
    <row r="517" spans="1:6" s="69" customFormat="1" ht="12" customHeight="1" x14ac:dyDescent="0.3">
      <c r="A517" s="57"/>
      <c r="B517" s="51"/>
      <c r="C517" s="51"/>
      <c r="D517" s="51"/>
      <c r="E517" s="51"/>
      <c r="F517" s="51"/>
    </row>
    <row r="518" spans="1:6" s="69" customFormat="1" ht="12" customHeight="1" x14ac:dyDescent="0.3">
      <c r="A518" s="57"/>
      <c r="B518" s="51"/>
      <c r="C518" s="51"/>
      <c r="D518" s="51"/>
      <c r="E518" s="51"/>
      <c r="F518" s="51"/>
    </row>
    <row r="519" spans="1:6" s="69" customFormat="1" ht="12" customHeight="1" x14ac:dyDescent="0.3">
      <c r="A519" s="57"/>
      <c r="B519" s="51"/>
      <c r="C519" s="51"/>
      <c r="D519" s="51"/>
      <c r="E519" s="51"/>
      <c r="F519" s="51"/>
    </row>
    <row r="520" spans="1:6" s="69" customFormat="1" ht="12" customHeight="1" x14ac:dyDescent="0.3">
      <c r="A520" s="57"/>
      <c r="B520" s="51"/>
      <c r="C520" s="51"/>
      <c r="D520" s="51"/>
      <c r="E520" s="51"/>
      <c r="F520" s="51"/>
    </row>
    <row r="521" spans="1:6" s="69" customFormat="1" ht="12" customHeight="1" x14ac:dyDescent="0.3">
      <c r="A521" s="57"/>
      <c r="B521" s="51"/>
      <c r="C521" s="51"/>
      <c r="D521" s="51"/>
      <c r="E521" s="51"/>
      <c r="F521" s="51"/>
    </row>
    <row r="522" spans="1:6" s="69" customFormat="1" ht="12" customHeight="1" x14ac:dyDescent="0.3">
      <c r="A522" s="57"/>
      <c r="B522" s="51"/>
      <c r="C522" s="51"/>
      <c r="D522" s="51"/>
      <c r="E522" s="51"/>
      <c r="F522" s="51"/>
    </row>
    <row r="523" spans="1:6" s="69" customFormat="1" ht="12" customHeight="1" x14ac:dyDescent="0.3">
      <c r="A523" s="57"/>
      <c r="B523" s="51"/>
      <c r="C523" s="51"/>
      <c r="D523" s="51"/>
      <c r="E523" s="51"/>
      <c r="F523" s="51"/>
    </row>
    <row r="524" spans="1:6" s="69" customFormat="1" ht="12" customHeight="1" x14ac:dyDescent="0.3">
      <c r="A524" s="57"/>
      <c r="B524" s="51"/>
      <c r="C524" s="51"/>
      <c r="D524" s="51"/>
      <c r="E524" s="51"/>
      <c r="F524" s="51"/>
    </row>
    <row r="525" spans="1:6" s="69" customFormat="1" ht="12" customHeight="1" x14ac:dyDescent="0.3">
      <c r="A525" s="57"/>
      <c r="B525" s="51"/>
      <c r="C525" s="51"/>
      <c r="D525" s="51"/>
      <c r="E525" s="51"/>
      <c r="F525" s="51"/>
    </row>
    <row r="526" spans="1:6" s="69" customFormat="1" ht="12" customHeight="1" x14ac:dyDescent="0.3">
      <c r="A526" s="57"/>
      <c r="B526" s="51"/>
      <c r="C526" s="51"/>
      <c r="D526" s="51"/>
      <c r="E526" s="51"/>
      <c r="F526" s="51"/>
    </row>
    <row r="527" spans="1:6" s="69" customFormat="1" ht="12" customHeight="1" x14ac:dyDescent="0.3">
      <c r="A527" s="57"/>
      <c r="B527" s="51"/>
      <c r="C527" s="51"/>
      <c r="D527" s="51"/>
      <c r="E527" s="51"/>
      <c r="F527" s="51"/>
    </row>
    <row r="528" spans="1:6" s="69" customFormat="1" ht="12" customHeight="1" x14ac:dyDescent="0.3">
      <c r="A528" s="57"/>
      <c r="B528" s="51"/>
      <c r="C528" s="51"/>
      <c r="D528" s="51"/>
      <c r="E528" s="51"/>
      <c r="F528" s="51"/>
    </row>
    <row r="529" spans="1:6" s="69" customFormat="1" ht="12" customHeight="1" x14ac:dyDescent="0.3">
      <c r="A529" s="57"/>
      <c r="B529" s="51"/>
      <c r="C529" s="51"/>
      <c r="D529" s="51"/>
      <c r="E529" s="51"/>
      <c r="F529" s="51"/>
    </row>
    <row r="530" spans="1:6" s="69" customFormat="1" ht="12" customHeight="1" x14ac:dyDescent="0.3">
      <c r="A530" s="57"/>
      <c r="B530" s="51"/>
      <c r="C530" s="51"/>
      <c r="D530" s="51"/>
      <c r="E530" s="51"/>
      <c r="F530" s="51"/>
    </row>
    <row r="531" spans="1:6" s="69" customFormat="1" ht="12" customHeight="1" x14ac:dyDescent="0.3">
      <c r="A531" s="57"/>
      <c r="B531" s="51"/>
      <c r="C531" s="51"/>
      <c r="D531" s="51"/>
      <c r="E531" s="51"/>
      <c r="F531" s="51"/>
    </row>
    <row r="532" spans="1:6" s="69" customFormat="1" ht="12" customHeight="1" x14ac:dyDescent="0.3">
      <c r="A532" s="57"/>
      <c r="B532" s="51"/>
      <c r="C532" s="51"/>
      <c r="D532" s="51"/>
      <c r="E532" s="51"/>
      <c r="F532" s="51"/>
    </row>
    <row r="533" spans="1:6" s="69" customFormat="1" ht="12" customHeight="1" x14ac:dyDescent="0.3">
      <c r="A533" s="57"/>
      <c r="B533" s="51"/>
      <c r="C533" s="51"/>
      <c r="D533" s="51"/>
      <c r="E533" s="51"/>
      <c r="F533" s="51"/>
    </row>
    <row r="534" spans="1:6" s="69" customFormat="1" ht="12" customHeight="1" x14ac:dyDescent="0.3">
      <c r="A534" s="57"/>
      <c r="B534" s="51"/>
      <c r="C534" s="51"/>
      <c r="D534" s="51"/>
      <c r="E534" s="51"/>
      <c r="F534" s="51"/>
    </row>
    <row r="535" spans="1:6" s="69" customFormat="1" ht="12" customHeight="1" x14ac:dyDescent="0.3">
      <c r="A535" s="57"/>
      <c r="B535" s="51"/>
      <c r="C535" s="51"/>
      <c r="D535" s="51"/>
      <c r="E535" s="51"/>
      <c r="F535" s="51"/>
    </row>
    <row r="536" spans="1:6" s="69" customFormat="1" ht="12" customHeight="1" x14ac:dyDescent="0.3">
      <c r="A536" s="57"/>
      <c r="B536" s="51"/>
      <c r="C536" s="51"/>
      <c r="D536" s="51"/>
      <c r="E536" s="51"/>
      <c r="F536" s="51"/>
    </row>
    <row r="537" spans="1:6" s="69" customFormat="1" ht="12" customHeight="1" x14ac:dyDescent="0.3">
      <c r="A537" s="57"/>
      <c r="B537" s="51"/>
      <c r="C537" s="51"/>
      <c r="D537" s="51"/>
      <c r="E537" s="51"/>
      <c r="F537" s="51"/>
    </row>
    <row r="538" spans="1:6" s="69" customFormat="1" ht="12" customHeight="1" x14ac:dyDescent="0.3">
      <c r="A538" s="57"/>
      <c r="B538" s="51"/>
      <c r="C538" s="51"/>
      <c r="D538" s="51"/>
      <c r="E538" s="51"/>
      <c r="F538" s="51"/>
    </row>
    <row r="539" spans="1:6" s="69" customFormat="1" ht="12" customHeight="1" x14ac:dyDescent="0.3">
      <c r="A539" s="57"/>
      <c r="B539" s="51"/>
      <c r="C539" s="51"/>
      <c r="D539" s="51"/>
      <c r="E539" s="51"/>
      <c r="F539" s="51"/>
    </row>
    <row r="540" spans="1:6" s="69" customFormat="1" ht="12" customHeight="1" x14ac:dyDescent="0.3">
      <c r="A540" s="57"/>
      <c r="B540" s="51"/>
      <c r="C540" s="51"/>
      <c r="D540" s="51"/>
      <c r="E540" s="51"/>
      <c r="F540" s="51"/>
    </row>
    <row r="541" spans="1:6" s="69" customFormat="1" ht="12" customHeight="1" x14ac:dyDescent="0.3">
      <c r="A541" s="57"/>
      <c r="B541" s="51"/>
      <c r="C541" s="51"/>
      <c r="D541" s="51"/>
      <c r="E541" s="51"/>
      <c r="F541" s="51"/>
    </row>
    <row r="542" spans="1:6" s="69" customFormat="1" ht="12" customHeight="1" x14ac:dyDescent="0.3">
      <c r="A542" s="57"/>
      <c r="B542" s="51"/>
      <c r="C542" s="51"/>
      <c r="D542" s="51"/>
      <c r="E542" s="51"/>
      <c r="F542" s="51"/>
    </row>
    <row r="543" spans="1:6" s="69" customFormat="1" ht="12" customHeight="1" x14ac:dyDescent="0.3">
      <c r="A543" s="57"/>
      <c r="B543" s="51"/>
      <c r="C543" s="51"/>
      <c r="D543" s="51"/>
      <c r="E543" s="51"/>
      <c r="F543" s="51"/>
    </row>
    <row r="544" spans="1:6" s="69" customFormat="1" ht="12" customHeight="1" x14ac:dyDescent="0.3">
      <c r="A544" s="57"/>
      <c r="B544" s="51"/>
      <c r="C544" s="51"/>
      <c r="D544" s="51"/>
      <c r="E544" s="51"/>
      <c r="F544" s="51"/>
    </row>
    <row r="545" spans="1:6" s="69" customFormat="1" ht="12" customHeight="1" x14ac:dyDescent="0.3">
      <c r="A545" s="57"/>
      <c r="B545" s="51"/>
      <c r="C545" s="51"/>
      <c r="D545" s="51"/>
      <c r="E545" s="51"/>
      <c r="F545" s="51"/>
    </row>
    <row r="546" spans="1:6" s="69" customFormat="1" ht="12" customHeight="1" x14ac:dyDescent="0.3">
      <c r="A546" s="57"/>
      <c r="B546" s="51"/>
      <c r="C546" s="51"/>
      <c r="D546" s="51"/>
      <c r="E546" s="51"/>
      <c r="F546" s="51"/>
    </row>
    <row r="547" spans="1:6" s="69" customFormat="1" ht="12" customHeight="1" x14ac:dyDescent="0.3">
      <c r="A547" s="57"/>
      <c r="B547" s="51"/>
      <c r="C547" s="51"/>
      <c r="D547" s="51"/>
      <c r="E547" s="51"/>
      <c r="F547" s="51"/>
    </row>
    <row r="548" spans="1:6" s="69" customFormat="1" ht="12" customHeight="1" x14ac:dyDescent="0.3">
      <c r="A548" s="57"/>
      <c r="B548" s="51"/>
      <c r="C548" s="51"/>
      <c r="D548" s="51"/>
      <c r="E548" s="51"/>
      <c r="F548" s="51"/>
    </row>
    <row r="549" spans="1:6" s="69" customFormat="1" ht="12" customHeight="1" x14ac:dyDescent="0.3">
      <c r="A549" s="57"/>
      <c r="B549" s="51"/>
      <c r="C549" s="51"/>
      <c r="D549" s="51"/>
      <c r="E549" s="51"/>
      <c r="F549" s="51"/>
    </row>
    <row r="550" spans="1:6" s="69" customFormat="1" ht="12" customHeight="1" x14ac:dyDescent="0.3">
      <c r="A550" s="57"/>
      <c r="B550" s="51"/>
      <c r="C550" s="51"/>
      <c r="D550" s="51"/>
      <c r="E550" s="51"/>
      <c r="F550" s="51"/>
    </row>
    <row r="551" spans="1:6" s="69" customFormat="1" ht="12" customHeight="1" x14ac:dyDescent="0.3">
      <c r="A551" s="57"/>
      <c r="B551" s="51"/>
      <c r="C551" s="51"/>
      <c r="D551" s="51"/>
      <c r="E551" s="51"/>
      <c r="F551" s="51"/>
    </row>
    <row r="552" spans="1:6" s="69" customFormat="1" ht="12" customHeight="1" x14ac:dyDescent="0.3">
      <c r="A552" s="57"/>
      <c r="B552" s="51"/>
      <c r="C552" s="51"/>
      <c r="D552" s="51"/>
      <c r="E552" s="51"/>
      <c r="F552" s="51"/>
    </row>
    <row r="553" spans="1:6" s="69" customFormat="1" ht="12" customHeight="1" x14ac:dyDescent="0.3">
      <c r="A553" s="57"/>
      <c r="B553" s="51"/>
      <c r="C553" s="51"/>
      <c r="D553" s="51"/>
      <c r="E553" s="51"/>
      <c r="F553" s="51"/>
    </row>
    <row r="554" spans="1:6" s="69" customFormat="1" ht="12" customHeight="1" x14ac:dyDescent="0.3">
      <c r="A554" s="57"/>
      <c r="B554" s="51"/>
      <c r="C554" s="51"/>
      <c r="D554" s="51"/>
      <c r="E554" s="51"/>
      <c r="F554" s="51"/>
    </row>
    <row r="555" spans="1:6" s="69" customFormat="1" ht="12" customHeight="1" x14ac:dyDescent="0.3">
      <c r="A555" s="57"/>
      <c r="B555" s="51"/>
      <c r="C555" s="51"/>
      <c r="D555" s="51"/>
      <c r="E555" s="51"/>
      <c r="F555" s="51"/>
    </row>
    <row r="556" spans="1:6" s="69" customFormat="1" ht="12" customHeight="1" x14ac:dyDescent="0.3">
      <c r="A556" s="57"/>
      <c r="B556" s="51"/>
      <c r="C556" s="51"/>
      <c r="D556" s="51"/>
      <c r="E556" s="51"/>
      <c r="F556" s="51"/>
    </row>
    <row r="557" spans="1:6" s="69" customFormat="1" ht="12" customHeight="1" x14ac:dyDescent="0.3">
      <c r="A557" s="57"/>
      <c r="B557" s="51"/>
      <c r="C557" s="51"/>
      <c r="D557" s="51"/>
      <c r="E557" s="51"/>
      <c r="F557" s="51"/>
    </row>
    <row r="558" spans="1:6" s="69" customFormat="1" ht="12" customHeight="1" x14ac:dyDescent="0.3">
      <c r="A558" s="57"/>
      <c r="B558" s="51"/>
      <c r="C558" s="51"/>
      <c r="D558" s="51"/>
      <c r="E558" s="51"/>
      <c r="F558" s="51"/>
    </row>
    <row r="559" spans="1:6" s="69" customFormat="1" ht="12" customHeight="1" x14ac:dyDescent="0.3">
      <c r="A559" s="57"/>
      <c r="B559" s="51"/>
      <c r="C559" s="51"/>
      <c r="D559" s="51"/>
      <c r="E559" s="51"/>
      <c r="F559" s="51"/>
    </row>
    <row r="560" spans="1:6" s="69" customFormat="1" ht="12" customHeight="1" x14ac:dyDescent="0.3">
      <c r="A560" s="57"/>
      <c r="B560" s="51"/>
      <c r="C560" s="51"/>
      <c r="D560" s="51"/>
      <c r="E560" s="51"/>
      <c r="F560" s="51"/>
    </row>
    <row r="561" spans="1:6" s="69" customFormat="1" ht="12" customHeight="1" x14ac:dyDescent="0.3">
      <c r="A561" s="57"/>
      <c r="B561" s="51"/>
      <c r="C561" s="51"/>
      <c r="D561" s="51"/>
      <c r="E561" s="51"/>
      <c r="F561" s="51"/>
    </row>
    <row r="562" spans="1:6" s="69" customFormat="1" ht="12" customHeight="1" x14ac:dyDescent="0.3">
      <c r="A562" s="57"/>
      <c r="B562" s="51"/>
      <c r="C562" s="51"/>
      <c r="D562" s="51"/>
      <c r="E562" s="51"/>
      <c r="F562" s="51"/>
    </row>
    <row r="563" spans="1:6" s="69" customFormat="1" ht="12" customHeight="1" x14ac:dyDescent="0.3">
      <c r="A563" s="57"/>
      <c r="B563" s="51"/>
      <c r="C563" s="51"/>
      <c r="D563" s="51"/>
      <c r="E563" s="51"/>
      <c r="F563" s="51"/>
    </row>
    <row r="564" spans="1:6" s="69" customFormat="1" ht="12" customHeight="1" x14ac:dyDescent="0.3">
      <c r="A564" s="57"/>
      <c r="B564" s="51"/>
      <c r="C564" s="51"/>
      <c r="D564" s="51"/>
      <c r="E564" s="51"/>
      <c r="F564" s="51"/>
    </row>
    <row r="565" spans="1:6" s="69" customFormat="1" ht="12" customHeight="1" x14ac:dyDescent="0.3">
      <c r="A565" s="57"/>
      <c r="B565" s="51"/>
      <c r="C565" s="51"/>
      <c r="D565" s="51"/>
      <c r="E565" s="51"/>
      <c r="F565" s="51"/>
    </row>
    <row r="566" spans="1:6" s="69" customFormat="1" ht="12" customHeight="1" x14ac:dyDescent="0.3">
      <c r="A566" s="57"/>
      <c r="B566" s="51"/>
      <c r="C566" s="51"/>
      <c r="D566" s="51"/>
      <c r="E566" s="51"/>
      <c r="F566" s="51"/>
    </row>
    <row r="567" spans="1:6" s="69" customFormat="1" ht="12" customHeight="1" x14ac:dyDescent="0.3">
      <c r="A567" s="57"/>
      <c r="B567" s="51"/>
      <c r="C567" s="51"/>
      <c r="D567" s="51"/>
      <c r="E567" s="51"/>
      <c r="F567" s="51"/>
    </row>
    <row r="568" spans="1:6" s="69" customFormat="1" ht="12" customHeight="1" x14ac:dyDescent="0.3">
      <c r="A568" s="57"/>
      <c r="B568" s="51"/>
      <c r="C568" s="51"/>
      <c r="D568" s="51"/>
      <c r="E568" s="51"/>
      <c r="F568" s="51"/>
    </row>
    <row r="569" spans="1:6" s="69" customFormat="1" ht="12" customHeight="1" x14ac:dyDescent="0.3">
      <c r="A569" s="57"/>
      <c r="B569" s="51"/>
      <c r="C569" s="51"/>
      <c r="D569" s="51"/>
      <c r="E569" s="51"/>
      <c r="F569" s="51"/>
    </row>
    <row r="570" spans="1:6" s="69" customFormat="1" ht="12" customHeight="1" x14ac:dyDescent="0.3">
      <c r="A570" s="57"/>
      <c r="B570" s="51"/>
      <c r="C570" s="51"/>
      <c r="D570" s="51"/>
      <c r="E570" s="51"/>
      <c r="F570" s="51"/>
    </row>
    <row r="571" spans="1:6" s="69" customFormat="1" ht="12" customHeight="1" x14ac:dyDescent="0.3">
      <c r="A571" s="57"/>
      <c r="B571" s="51"/>
      <c r="C571" s="51"/>
      <c r="D571" s="51"/>
      <c r="E571" s="51"/>
      <c r="F571" s="51"/>
    </row>
    <row r="572" spans="1:6" s="69" customFormat="1" ht="12" customHeight="1" x14ac:dyDescent="0.3">
      <c r="A572" s="57"/>
      <c r="B572" s="51"/>
      <c r="C572" s="51"/>
      <c r="D572" s="51"/>
      <c r="E572" s="51"/>
      <c r="F572" s="51"/>
    </row>
    <row r="573" spans="1:6" s="69" customFormat="1" ht="12" customHeight="1" x14ac:dyDescent="0.3">
      <c r="A573" s="57"/>
      <c r="B573" s="51"/>
      <c r="C573" s="51"/>
      <c r="D573" s="51"/>
      <c r="E573" s="51"/>
      <c r="F573" s="51"/>
    </row>
    <row r="574" spans="1:6" s="69" customFormat="1" ht="12" customHeight="1" x14ac:dyDescent="0.3">
      <c r="A574" s="57"/>
      <c r="B574" s="51"/>
      <c r="C574" s="51"/>
      <c r="D574" s="51"/>
      <c r="E574" s="51"/>
      <c r="F574" s="51"/>
    </row>
    <row r="575" spans="1:6" s="69" customFormat="1" ht="12" customHeight="1" x14ac:dyDescent="0.3">
      <c r="A575" s="57"/>
      <c r="B575" s="51"/>
      <c r="C575" s="51"/>
      <c r="D575" s="51"/>
      <c r="E575" s="51"/>
      <c r="F575" s="51"/>
    </row>
    <row r="576" spans="1:6" s="69" customFormat="1" ht="12" customHeight="1" x14ac:dyDescent="0.3">
      <c r="A576" s="57"/>
      <c r="B576" s="51"/>
      <c r="C576" s="51"/>
      <c r="D576" s="51"/>
      <c r="E576" s="51"/>
      <c r="F576" s="51"/>
    </row>
    <row r="577" spans="1:6" s="69" customFormat="1" ht="12" customHeight="1" x14ac:dyDescent="0.3">
      <c r="A577" s="57"/>
      <c r="B577" s="51"/>
      <c r="C577" s="51"/>
      <c r="D577" s="51"/>
      <c r="E577" s="51"/>
      <c r="F577" s="51"/>
    </row>
    <row r="578" spans="1:6" s="69" customFormat="1" ht="12" customHeight="1" x14ac:dyDescent="0.3">
      <c r="A578" s="57"/>
      <c r="B578" s="51"/>
      <c r="C578" s="51"/>
      <c r="D578" s="51"/>
      <c r="E578" s="51"/>
      <c r="F578" s="51"/>
    </row>
    <row r="579" spans="1:6" s="69" customFormat="1" ht="12" customHeight="1" x14ac:dyDescent="0.3">
      <c r="A579" s="57"/>
      <c r="B579" s="51"/>
      <c r="C579" s="51"/>
      <c r="D579" s="51"/>
      <c r="E579" s="51"/>
      <c r="F579" s="51"/>
    </row>
    <row r="580" spans="1:6" s="69" customFormat="1" ht="12" customHeight="1" x14ac:dyDescent="0.3">
      <c r="A580" s="57"/>
      <c r="B580" s="51"/>
      <c r="C580" s="51"/>
      <c r="D580" s="51"/>
      <c r="E580" s="51"/>
      <c r="F580" s="51"/>
    </row>
    <row r="581" spans="1:6" s="69" customFormat="1" ht="12" customHeight="1" x14ac:dyDescent="0.3">
      <c r="A581" s="57"/>
      <c r="B581" s="51"/>
      <c r="C581" s="51"/>
      <c r="D581" s="51"/>
      <c r="E581" s="51"/>
      <c r="F581" s="51"/>
    </row>
    <row r="582" spans="1:6" s="69" customFormat="1" ht="12" customHeight="1" x14ac:dyDescent="0.3">
      <c r="A582" s="57"/>
      <c r="B582" s="51"/>
      <c r="C582" s="51"/>
      <c r="D582" s="51"/>
      <c r="E582" s="51"/>
      <c r="F582" s="51"/>
    </row>
    <row r="583" spans="1:6" s="69" customFormat="1" ht="12" customHeight="1" x14ac:dyDescent="0.3">
      <c r="A583" s="57"/>
      <c r="B583" s="51"/>
      <c r="C583" s="51"/>
      <c r="D583" s="51"/>
      <c r="E583" s="51"/>
      <c r="F583" s="51"/>
    </row>
    <row r="584" spans="1:6" s="69" customFormat="1" ht="12" customHeight="1" x14ac:dyDescent="0.3">
      <c r="A584" s="57"/>
      <c r="B584" s="51"/>
      <c r="C584" s="51"/>
      <c r="D584" s="51"/>
      <c r="E584" s="51"/>
      <c r="F584" s="51"/>
    </row>
    <row r="585" spans="1:6" s="69" customFormat="1" ht="12" customHeight="1" x14ac:dyDescent="0.3">
      <c r="A585" s="57"/>
      <c r="B585" s="51"/>
      <c r="C585" s="51"/>
      <c r="D585" s="51"/>
      <c r="E585" s="51"/>
      <c r="F585" s="51"/>
    </row>
    <row r="586" spans="1:6" s="69" customFormat="1" ht="12" customHeight="1" x14ac:dyDescent="0.3">
      <c r="A586" s="57"/>
      <c r="B586" s="51"/>
      <c r="C586" s="51"/>
      <c r="D586" s="51"/>
      <c r="E586" s="51"/>
      <c r="F586" s="51"/>
    </row>
    <row r="587" spans="1:6" s="69" customFormat="1" ht="12" customHeight="1" x14ac:dyDescent="0.3">
      <c r="A587" s="57"/>
      <c r="B587" s="51"/>
      <c r="C587" s="51"/>
      <c r="D587" s="51"/>
      <c r="E587" s="51"/>
      <c r="F587" s="51"/>
    </row>
    <row r="588" spans="1:6" s="69" customFormat="1" ht="12" customHeight="1" x14ac:dyDescent="0.3">
      <c r="A588" s="57"/>
      <c r="B588" s="51"/>
      <c r="C588" s="51"/>
      <c r="D588" s="51"/>
      <c r="E588" s="51"/>
      <c r="F588" s="51"/>
    </row>
    <row r="589" spans="1:6" s="69" customFormat="1" ht="12" customHeight="1" x14ac:dyDescent="0.3">
      <c r="A589" s="57"/>
      <c r="B589" s="51"/>
      <c r="C589" s="51"/>
      <c r="D589" s="51"/>
      <c r="E589" s="51"/>
      <c r="F589" s="51"/>
    </row>
    <row r="590" spans="1:6" s="69" customFormat="1" ht="12" customHeight="1" x14ac:dyDescent="0.3">
      <c r="A590" s="57"/>
      <c r="B590" s="51"/>
      <c r="C590" s="51"/>
      <c r="D590" s="51"/>
      <c r="E590" s="51"/>
      <c r="F590" s="51"/>
    </row>
    <row r="591" spans="1:6" s="69" customFormat="1" ht="12" customHeight="1" x14ac:dyDescent="0.3">
      <c r="A591" s="57"/>
      <c r="B591" s="51"/>
      <c r="C591" s="51"/>
      <c r="D591" s="51"/>
      <c r="E591" s="51"/>
      <c r="F591" s="51"/>
    </row>
    <row r="592" spans="1:6" s="69" customFormat="1" ht="12" customHeight="1" x14ac:dyDescent="0.3">
      <c r="A592" s="57"/>
      <c r="B592" s="51"/>
      <c r="C592" s="51"/>
      <c r="D592" s="51"/>
      <c r="E592" s="51"/>
      <c r="F592" s="51"/>
    </row>
    <row r="593" spans="1:6" s="69" customFormat="1" ht="12" customHeight="1" x14ac:dyDescent="0.3">
      <c r="A593" s="57"/>
      <c r="B593" s="51"/>
      <c r="C593" s="51"/>
      <c r="D593" s="51"/>
      <c r="E593" s="51"/>
      <c r="F593" s="51"/>
    </row>
    <row r="594" spans="1:6" s="69" customFormat="1" ht="12" customHeight="1" x14ac:dyDescent="0.3">
      <c r="A594" s="57"/>
      <c r="B594" s="51"/>
      <c r="C594" s="51"/>
      <c r="D594" s="51"/>
      <c r="E594" s="51"/>
      <c r="F594" s="51"/>
    </row>
    <row r="595" spans="1:6" s="69" customFormat="1" ht="12" customHeight="1" x14ac:dyDescent="0.3">
      <c r="A595" s="57"/>
      <c r="B595" s="51"/>
      <c r="C595" s="51"/>
      <c r="D595" s="51"/>
      <c r="E595" s="51"/>
      <c r="F595" s="51"/>
    </row>
    <row r="596" spans="1:6" s="69" customFormat="1" ht="12" customHeight="1" x14ac:dyDescent="0.3">
      <c r="A596" s="57"/>
      <c r="B596" s="51"/>
      <c r="C596" s="51"/>
      <c r="D596" s="51"/>
      <c r="E596" s="51"/>
      <c r="F596" s="51"/>
    </row>
    <row r="597" spans="1:6" s="69" customFormat="1" ht="12" customHeight="1" x14ac:dyDescent="0.3">
      <c r="A597" s="57"/>
      <c r="B597" s="51"/>
      <c r="C597" s="51"/>
      <c r="D597" s="51"/>
      <c r="E597" s="51"/>
      <c r="F597" s="51"/>
    </row>
    <row r="598" spans="1:6" s="69" customFormat="1" ht="12" customHeight="1" x14ac:dyDescent="0.3">
      <c r="A598" s="57"/>
      <c r="B598" s="51"/>
      <c r="C598" s="51"/>
      <c r="D598" s="51"/>
      <c r="E598" s="51"/>
      <c r="F598" s="51"/>
    </row>
    <row r="599" spans="1:6" s="69" customFormat="1" ht="12" customHeight="1" x14ac:dyDescent="0.3">
      <c r="A599" s="57"/>
      <c r="B599" s="51"/>
      <c r="C599" s="51"/>
      <c r="D599" s="51"/>
      <c r="E599" s="51"/>
      <c r="F599" s="51"/>
    </row>
    <row r="600" spans="1:6" s="69" customFormat="1" ht="12" customHeight="1" x14ac:dyDescent="0.3">
      <c r="A600" s="57"/>
      <c r="B600" s="51"/>
      <c r="C600" s="51"/>
      <c r="D600" s="51"/>
      <c r="E600" s="51"/>
      <c r="F600" s="51"/>
    </row>
    <row r="601" spans="1:6" s="69" customFormat="1" ht="12" customHeight="1" x14ac:dyDescent="0.3">
      <c r="A601" s="57"/>
      <c r="B601" s="51"/>
      <c r="C601" s="51"/>
      <c r="D601" s="51"/>
      <c r="E601" s="51"/>
      <c r="F601" s="51"/>
    </row>
    <row r="602" spans="1:6" s="69" customFormat="1" ht="12" customHeight="1" x14ac:dyDescent="0.3">
      <c r="A602" s="57"/>
      <c r="B602" s="51"/>
      <c r="C602" s="51"/>
      <c r="D602" s="51"/>
      <c r="E602" s="51"/>
      <c r="F602" s="51"/>
    </row>
    <row r="603" spans="1:6" s="69" customFormat="1" ht="12" customHeight="1" x14ac:dyDescent="0.3">
      <c r="A603" s="57"/>
      <c r="B603" s="51"/>
      <c r="C603" s="51"/>
      <c r="D603" s="51"/>
      <c r="E603" s="51"/>
      <c r="F603" s="51"/>
    </row>
    <row r="604" spans="1:6" s="69" customFormat="1" ht="12" customHeight="1" x14ac:dyDescent="0.3">
      <c r="A604" s="57"/>
      <c r="B604" s="51"/>
      <c r="C604" s="51"/>
      <c r="D604" s="51"/>
      <c r="E604" s="51"/>
      <c r="F604" s="51"/>
    </row>
    <row r="605" spans="1:6" s="69" customFormat="1" ht="12" customHeight="1" x14ac:dyDescent="0.3">
      <c r="A605" s="57"/>
      <c r="B605" s="51"/>
      <c r="C605" s="51"/>
      <c r="D605" s="51"/>
      <c r="E605" s="51"/>
      <c r="F605" s="51"/>
    </row>
    <row r="606" spans="1:6" s="69" customFormat="1" ht="12" customHeight="1" x14ac:dyDescent="0.3">
      <c r="A606" s="57"/>
      <c r="B606" s="51"/>
      <c r="C606" s="51"/>
      <c r="D606" s="51"/>
      <c r="E606" s="51"/>
      <c r="F606" s="51"/>
    </row>
    <row r="607" spans="1:6" s="69" customFormat="1" ht="12" customHeight="1" x14ac:dyDescent="0.3">
      <c r="A607" s="57"/>
      <c r="B607" s="51"/>
      <c r="C607" s="51"/>
      <c r="D607" s="51"/>
      <c r="E607" s="51"/>
      <c r="F607" s="51"/>
    </row>
    <row r="608" spans="1:6" s="69" customFormat="1" ht="12" customHeight="1" x14ac:dyDescent="0.3">
      <c r="A608" s="57"/>
      <c r="B608" s="51"/>
      <c r="C608" s="51"/>
      <c r="D608" s="51"/>
      <c r="E608" s="51"/>
      <c r="F608" s="51"/>
    </row>
    <row r="609" spans="1:6" s="69" customFormat="1" ht="12" customHeight="1" x14ac:dyDescent="0.3">
      <c r="A609" s="57"/>
      <c r="B609" s="51"/>
      <c r="C609" s="51"/>
      <c r="D609" s="51"/>
      <c r="E609" s="51"/>
      <c r="F609" s="51"/>
    </row>
    <row r="610" spans="1:6" s="69" customFormat="1" ht="12" customHeight="1" x14ac:dyDescent="0.3">
      <c r="A610" s="57"/>
      <c r="B610" s="51"/>
      <c r="C610" s="51"/>
      <c r="D610" s="51"/>
      <c r="E610" s="51"/>
      <c r="F610" s="51"/>
    </row>
    <row r="611" spans="1:6" s="69" customFormat="1" ht="12" customHeight="1" x14ac:dyDescent="0.3">
      <c r="A611" s="57"/>
      <c r="B611" s="51"/>
      <c r="C611" s="51"/>
      <c r="D611" s="51"/>
      <c r="E611" s="51"/>
      <c r="F611" s="51"/>
    </row>
    <row r="612" spans="1:6" s="69" customFormat="1" ht="12" customHeight="1" x14ac:dyDescent="0.3">
      <c r="A612" s="57"/>
      <c r="B612" s="51"/>
      <c r="C612" s="51"/>
      <c r="D612" s="51"/>
      <c r="E612" s="51"/>
      <c r="F612" s="51"/>
    </row>
    <row r="613" spans="1:6" s="69" customFormat="1" ht="12" customHeight="1" x14ac:dyDescent="0.3">
      <c r="A613" s="57"/>
      <c r="B613" s="51"/>
      <c r="C613" s="51"/>
      <c r="D613" s="51"/>
      <c r="E613" s="51"/>
      <c r="F613" s="51"/>
    </row>
    <row r="614" spans="1:6" s="69" customFormat="1" ht="12" customHeight="1" x14ac:dyDescent="0.3">
      <c r="A614" s="57"/>
      <c r="B614" s="51"/>
      <c r="C614" s="51"/>
      <c r="D614" s="51"/>
      <c r="E614" s="51"/>
      <c r="F614" s="51"/>
    </row>
    <row r="615" spans="1:6" s="69" customFormat="1" ht="12" customHeight="1" x14ac:dyDescent="0.3">
      <c r="A615" s="57"/>
      <c r="B615" s="51"/>
      <c r="C615" s="51"/>
      <c r="D615" s="51"/>
      <c r="E615" s="51"/>
      <c r="F615" s="51"/>
    </row>
    <row r="616" spans="1:6" s="69" customFormat="1" ht="12" customHeight="1" x14ac:dyDescent="0.3">
      <c r="A616" s="57"/>
      <c r="B616" s="51"/>
      <c r="C616" s="51"/>
      <c r="D616" s="51"/>
      <c r="E616" s="51"/>
      <c r="F616" s="51"/>
    </row>
    <row r="617" spans="1:6" s="69" customFormat="1" ht="12" customHeight="1" x14ac:dyDescent="0.3">
      <c r="A617" s="57"/>
      <c r="B617" s="51"/>
      <c r="C617" s="51"/>
      <c r="D617" s="51"/>
      <c r="E617" s="51"/>
      <c r="F617" s="51"/>
    </row>
    <row r="618" spans="1:6" s="69" customFormat="1" ht="12" customHeight="1" x14ac:dyDescent="0.3">
      <c r="A618" s="57"/>
      <c r="B618" s="51"/>
      <c r="C618" s="51"/>
      <c r="D618" s="51"/>
      <c r="E618" s="51"/>
      <c r="F618" s="51"/>
    </row>
    <row r="619" spans="1:6" s="69" customFormat="1" ht="12" customHeight="1" x14ac:dyDescent="0.3">
      <c r="A619" s="57"/>
      <c r="B619" s="51"/>
      <c r="C619" s="51"/>
      <c r="D619" s="51"/>
      <c r="E619" s="51"/>
      <c r="F619" s="51"/>
    </row>
    <row r="620" spans="1:6" s="69" customFormat="1" ht="12" customHeight="1" x14ac:dyDescent="0.3">
      <c r="A620" s="57"/>
      <c r="B620" s="51"/>
      <c r="C620" s="51"/>
      <c r="D620" s="51"/>
      <c r="E620" s="51"/>
      <c r="F620" s="51"/>
    </row>
    <row r="621" spans="1:6" s="69" customFormat="1" ht="12" customHeight="1" x14ac:dyDescent="0.3">
      <c r="A621" s="57"/>
      <c r="B621" s="51"/>
      <c r="C621" s="51"/>
      <c r="D621" s="51"/>
      <c r="E621" s="51"/>
      <c r="F621" s="51"/>
    </row>
    <row r="622" spans="1:6" s="69" customFormat="1" ht="12" customHeight="1" x14ac:dyDescent="0.3">
      <c r="A622" s="57"/>
      <c r="B622" s="51"/>
      <c r="C622" s="51"/>
      <c r="D622" s="51"/>
      <c r="E622" s="51"/>
      <c r="F622" s="51"/>
    </row>
    <row r="623" spans="1:6" s="69" customFormat="1" ht="12" customHeight="1" x14ac:dyDescent="0.3">
      <c r="A623" s="57"/>
      <c r="B623" s="51"/>
      <c r="C623" s="51"/>
      <c r="D623" s="51"/>
      <c r="E623" s="51"/>
      <c r="F623" s="51"/>
    </row>
    <row r="624" spans="1:6" s="69" customFormat="1" ht="12" customHeight="1" x14ac:dyDescent="0.3">
      <c r="A624" s="57"/>
      <c r="B624" s="51"/>
      <c r="C624" s="51"/>
      <c r="D624" s="51"/>
      <c r="E624" s="51"/>
      <c r="F624" s="51"/>
    </row>
    <row r="625" spans="1:6" s="69" customFormat="1" ht="12" customHeight="1" x14ac:dyDescent="0.3">
      <c r="A625" s="57"/>
      <c r="B625" s="51"/>
      <c r="C625" s="51"/>
      <c r="D625" s="51"/>
      <c r="E625" s="51"/>
      <c r="F625" s="51"/>
    </row>
    <row r="626" spans="1:6" s="69" customFormat="1" ht="12" customHeight="1" x14ac:dyDescent="0.3">
      <c r="A626" s="57"/>
      <c r="B626" s="51"/>
      <c r="C626" s="51"/>
      <c r="D626" s="51"/>
      <c r="E626" s="51"/>
      <c r="F626" s="51"/>
    </row>
    <row r="627" spans="1:6" s="69" customFormat="1" ht="12" customHeight="1" x14ac:dyDescent="0.3">
      <c r="A627" s="57"/>
      <c r="B627" s="51"/>
      <c r="C627" s="51"/>
      <c r="D627" s="51"/>
      <c r="E627" s="51"/>
      <c r="F627" s="51"/>
    </row>
    <row r="628" spans="1:6" s="69" customFormat="1" ht="12" customHeight="1" x14ac:dyDescent="0.3">
      <c r="A628" s="57"/>
      <c r="B628" s="51"/>
      <c r="C628" s="51"/>
      <c r="D628" s="51"/>
      <c r="E628" s="51"/>
      <c r="F628" s="51"/>
    </row>
    <row r="629" spans="1:6" s="69" customFormat="1" ht="12" customHeight="1" x14ac:dyDescent="0.3">
      <c r="A629" s="57"/>
      <c r="B629" s="51"/>
      <c r="C629" s="51"/>
      <c r="D629" s="51"/>
      <c r="E629" s="51"/>
      <c r="F629" s="51"/>
    </row>
    <row r="630" spans="1:6" s="69" customFormat="1" ht="12" customHeight="1" x14ac:dyDescent="0.3">
      <c r="A630" s="57"/>
      <c r="B630" s="51"/>
      <c r="C630" s="51"/>
      <c r="D630" s="51"/>
      <c r="E630" s="51"/>
      <c r="F630" s="51"/>
    </row>
    <row r="631" spans="1:6" s="69" customFormat="1" ht="12" customHeight="1" x14ac:dyDescent="0.3">
      <c r="A631" s="57"/>
      <c r="B631" s="51"/>
      <c r="C631" s="51"/>
      <c r="D631" s="51"/>
      <c r="E631" s="51"/>
      <c r="F631" s="51"/>
    </row>
    <row r="632" spans="1:6" s="69" customFormat="1" ht="12" customHeight="1" x14ac:dyDescent="0.3">
      <c r="A632" s="57"/>
      <c r="B632" s="51"/>
      <c r="C632" s="51"/>
      <c r="D632" s="51"/>
      <c r="E632" s="51"/>
      <c r="F632" s="51"/>
    </row>
    <row r="633" spans="1:6" s="69" customFormat="1" ht="12" customHeight="1" x14ac:dyDescent="0.3">
      <c r="A633" s="57"/>
      <c r="B633" s="51"/>
      <c r="C633" s="51"/>
      <c r="D633" s="51"/>
      <c r="E633" s="51"/>
      <c r="F633" s="51"/>
    </row>
    <row r="634" spans="1:6" s="69" customFormat="1" ht="12" customHeight="1" x14ac:dyDescent="0.3">
      <c r="A634" s="57"/>
      <c r="B634" s="51"/>
      <c r="C634" s="51"/>
      <c r="D634" s="51"/>
      <c r="E634" s="51"/>
      <c r="F634" s="51"/>
    </row>
    <row r="635" spans="1:6" s="69" customFormat="1" ht="12" customHeight="1" x14ac:dyDescent="0.3">
      <c r="A635" s="57"/>
      <c r="B635" s="51"/>
      <c r="C635" s="51"/>
      <c r="D635" s="51"/>
      <c r="E635" s="51"/>
      <c r="F635" s="51"/>
    </row>
    <row r="636" spans="1:6" s="69" customFormat="1" ht="12" customHeight="1" x14ac:dyDescent="0.3">
      <c r="A636" s="57"/>
      <c r="B636" s="51"/>
      <c r="C636" s="51"/>
      <c r="D636" s="51"/>
      <c r="E636" s="51"/>
      <c r="F636" s="51"/>
    </row>
    <row r="637" spans="1:6" s="69" customFormat="1" ht="12" customHeight="1" x14ac:dyDescent="0.3">
      <c r="A637" s="57"/>
      <c r="B637" s="51"/>
      <c r="C637" s="51"/>
      <c r="D637" s="51"/>
      <c r="E637" s="51"/>
      <c r="F637" s="51"/>
    </row>
    <row r="638" spans="1:6" s="69" customFormat="1" ht="12" customHeight="1" x14ac:dyDescent="0.3">
      <c r="A638" s="57"/>
      <c r="B638" s="51"/>
      <c r="C638" s="51"/>
      <c r="D638" s="51"/>
      <c r="E638" s="51"/>
      <c r="F638" s="51"/>
    </row>
    <row r="639" spans="1:6" s="69" customFormat="1" ht="12" customHeight="1" x14ac:dyDescent="0.3">
      <c r="A639" s="57"/>
      <c r="B639" s="51"/>
      <c r="C639" s="51"/>
      <c r="D639" s="51"/>
      <c r="E639" s="51"/>
      <c r="F639" s="51"/>
    </row>
    <row r="640" spans="1:6" s="69" customFormat="1" ht="12" customHeight="1" x14ac:dyDescent="0.3">
      <c r="A640" s="57"/>
      <c r="B640" s="51"/>
      <c r="C640" s="51"/>
      <c r="D640" s="51"/>
      <c r="E640" s="51"/>
      <c r="F640" s="51"/>
    </row>
    <row r="641" spans="1:6" s="69" customFormat="1" ht="12" customHeight="1" x14ac:dyDescent="0.3">
      <c r="A641" s="57"/>
      <c r="B641" s="51"/>
      <c r="C641" s="51"/>
      <c r="D641" s="51"/>
      <c r="E641" s="51"/>
      <c r="F641" s="51"/>
    </row>
    <row r="642" spans="1:6" s="69" customFormat="1" ht="12" customHeight="1" x14ac:dyDescent="0.3">
      <c r="A642" s="57"/>
      <c r="B642" s="51"/>
      <c r="C642" s="51"/>
      <c r="D642" s="51"/>
      <c r="E642" s="51"/>
      <c r="F642" s="51"/>
    </row>
    <row r="643" spans="1:6" s="69" customFormat="1" ht="12" customHeight="1" x14ac:dyDescent="0.3">
      <c r="A643" s="57"/>
      <c r="B643" s="51"/>
      <c r="C643" s="51"/>
      <c r="D643" s="51"/>
      <c r="E643" s="51"/>
      <c r="F643" s="51"/>
    </row>
    <row r="644" spans="1:6" s="69" customFormat="1" ht="12" customHeight="1" x14ac:dyDescent="0.3">
      <c r="A644" s="57"/>
      <c r="B644" s="51"/>
      <c r="C644" s="51"/>
      <c r="D644" s="51"/>
      <c r="E644" s="51"/>
      <c r="F644" s="51"/>
    </row>
    <row r="645" spans="1:6" s="69" customFormat="1" ht="12" customHeight="1" x14ac:dyDescent="0.3">
      <c r="A645" s="57"/>
      <c r="B645" s="51"/>
      <c r="C645" s="51"/>
      <c r="D645" s="51"/>
      <c r="E645" s="51"/>
      <c r="F645" s="51"/>
    </row>
    <row r="646" spans="1:6" s="69" customFormat="1" ht="12" customHeight="1" x14ac:dyDescent="0.3">
      <c r="A646" s="57"/>
      <c r="B646" s="51"/>
      <c r="C646" s="51"/>
      <c r="D646" s="51"/>
      <c r="E646" s="51"/>
      <c r="F646" s="51"/>
    </row>
    <row r="647" spans="1:6" s="69" customFormat="1" ht="12" customHeight="1" x14ac:dyDescent="0.3">
      <c r="A647" s="57"/>
      <c r="B647" s="51"/>
      <c r="C647" s="51"/>
      <c r="D647" s="51"/>
      <c r="E647" s="51"/>
      <c r="F647" s="51"/>
    </row>
    <row r="648" spans="1:6" s="69" customFormat="1" ht="12" customHeight="1" x14ac:dyDescent="0.3">
      <c r="A648" s="57"/>
      <c r="B648" s="51"/>
      <c r="C648" s="51"/>
      <c r="D648" s="51"/>
      <c r="E648" s="51"/>
      <c r="F648" s="51"/>
    </row>
    <row r="649" spans="1:6" s="69" customFormat="1" ht="12" customHeight="1" x14ac:dyDescent="0.3">
      <c r="A649" s="57"/>
      <c r="B649" s="51"/>
      <c r="C649" s="51"/>
      <c r="D649" s="51"/>
      <c r="E649" s="51"/>
      <c r="F649" s="51"/>
    </row>
    <row r="650" spans="1:6" s="69" customFormat="1" ht="12" customHeight="1" x14ac:dyDescent="0.3">
      <c r="A650" s="57"/>
      <c r="B650" s="51"/>
      <c r="C650" s="51"/>
      <c r="D650" s="51"/>
      <c r="E650" s="51"/>
      <c r="F650" s="51"/>
    </row>
    <row r="651" spans="1:6" s="69" customFormat="1" ht="12" customHeight="1" x14ac:dyDescent="0.3">
      <c r="A651" s="57"/>
      <c r="B651" s="51"/>
      <c r="C651" s="51"/>
      <c r="D651" s="51"/>
      <c r="E651" s="51"/>
      <c r="F651" s="51"/>
    </row>
    <row r="652" spans="1:6" s="69" customFormat="1" ht="12" customHeight="1" x14ac:dyDescent="0.3">
      <c r="A652" s="57"/>
      <c r="B652" s="51"/>
      <c r="C652" s="51"/>
      <c r="D652" s="51"/>
      <c r="E652" s="51"/>
      <c r="F652" s="51"/>
    </row>
    <row r="653" spans="1:6" s="69" customFormat="1" ht="12" customHeight="1" x14ac:dyDescent="0.3">
      <c r="A653" s="57"/>
      <c r="B653" s="51"/>
      <c r="C653" s="51"/>
      <c r="D653" s="51"/>
      <c r="E653" s="51"/>
      <c r="F653" s="51"/>
    </row>
    <row r="654" spans="1:6" s="69" customFormat="1" ht="12" customHeight="1" x14ac:dyDescent="0.3">
      <c r="A654" s="57"/>
      <c r="B654" s="51"/>
      <c r="C654" s="51"/>
      <c r="D654" s="51"/>
      <c r="E654" s="51"/>
      <c r="F654" s="51"/>
    </row>
    <row r="655" spans="1:6" s="69" customFormat="1" ht="12" customHeight="1" x14ac:dyDescent="0.3">
      <c r="A655" s="57"/>
      <c r="B655" s="51"/>
      <c r="C655" s="51"/>
      <c r="D655" s="51"/>
      <c r="E655" s="51"/>
      <c r="F655" s="51"/>
    </row>
    <row r="656" spans="1:6" s="69" customFormat="1" ht="12" customHeight="1" x14ac:dyDescent="0.3">
      <c r="A656" s="57"/>
      <c r="B656" s="51"/>
      <c r="C656" s="51"/>
      <c r="D656" s="51"/>
      <c r="E656" s="51"/>
      <c r="F656" s="51"/>
    </row>
    <row r="657" spans="1:6" s="69" customFormat="1" ht="12" customHeight="1" x14ac:dyDescent="0.3">
      <c r="A657" s="57"/>
      <c r="B657" s="51"/>
      <c r="C657" s="51"/>
      <c r="D657" s="51"/>
      <c r="E657" s="51"/>
      <c r="F657" s="51"/>
    </row>
    <row r="658" spans="1:6" s="69" customFormat="1" ht="12" customHeight="1" x14ac:dyDescent="0.3">
      <c r="A658" s="57"/>
      <c r="B658" s="51"/>
      <c r="C658" s="51"/>
      <c r="D658" s="51"/>
      <c r="E658" s="51"/>
      <c r="F658" s="51"/>
    </row>
    <row r="659" spans="1:6" s="69" customFormat="1" ht="12" customHeight="1" x14ac:dyDescent="0.3">
      <c r="A659" s="57"/>
      <c r="B659" s="51"/>
      <c r="C659" s="51"/>
      <c r="D659" s="51"/>
      <c r="E659" s="51"/>
      <c r="F659" s="51"/>
    </row>
    <row r="660" spans="1:6" s="69" customFormat="1" ht="12" customHeight="1" x14ac:dyDescent="0.3">
      <c r="A660" s="57"/>
      <c r="B660" s="51"/>
      <c r="C660" s="51"/>
      <c r="D660" s="51"/>
      <c r="E660" s="51"/>
      <c r="F660" s="51"/>
    </row>
    <row r="661" spans="1:6" s="69" customFormat="1" ht="12" customHeight="1" x14ac:dyDescent="0.3">
      <c r="A661" s="57"/>
      <c r="B661" s="51"/>
      <c r="C661" s="51"/>
      <c r="D661" s="51"/>
      <c r="E661" s="51"/>
      <c r="F661" s="51"/>
    </row>
    <row r="662" spans="1:6" s="69" customFormat="1" ht="12" customHeight="1" x14ac:dyDescent="0.3">
      <c r="A662" s="57"/>
      <c r="B662" s="51"/>
      <c r="C662" s="51"/>
      <c r="D662" s="51"/>
      <c r="E662" s="51"/>
      <c r="F662" s="51"/>
    </row>
    <row r="663" spans="1:6" s="69" customFormat="1" ht="12" customHeight="1" x14ac:dyDescent="0.3">
      <c r="A663" s="57"/>
      <c r="B663" s="51"/>
      <c r="C663" s="51"/>
      <c r="D663" s="51"/>
      <c r="E663" s="51"/>
      <c r="F663" s="51"/>
    </row>
    <row r="664" spans="1:6" s="69" customFormat="1" ht="12" customHeight="1" x14ac:dyDescent="0.3">
      <c r="A664" s="57"/>
      <c r="B664" s="51"/>
      <c r="C664" s="51"/>
      <c r="D664" s="51"/>
      <c r="E664" s="51"/>
      <c r="F664" s="51"/>
    </row>
    <row r="665" spans="1:6" s="69" customFormat="1" ht="12" customHeight="1" x14ac:dyDescent="0.3">
      <c r="A665" s="57"/>
      <c r="B665" s="51"/>
      <c r="C665" s="51"/>
      <c r="D665" s="51"/>
      <c r="E665" s="51"/>
      <c r="F665" s="51"/>
    </row>
    <row r="666" spans="1:6" s="69" customFormat="1" ht="12" customHeight="1" x14ac:dyDescent="0.3">
      <c r="A666" s="57"/>
      <c r="B666" s="51"/>
      <c r="C666" s="51"/>
      <c r="D666" s="51"/>
      <c r="E666" s="51"/>
      <c r="F666" s="51"/>
    </row>
    <row r="667" spans="1:6" s="69" customFormat="1" ht="12" customHeight="1" x14ac:dyDescent="0.3">
      <c r="A667" s="57"/>
      <c r="B667" s="51"/>
      <c r="C667" s="51"/>
      <c r="D667" s="51"/>
      <c r="E667" s="51"/>
      <c r="F667" s="51"/>
    </row>
    <row r="668" spans="1:6" s="69" customFormat="1" ht="12" customHeight="1" x14ac:dyDescent="0.3">
      <c r="A668" s="57"/>
      <c r="B668" s="51"/>
      <c r="C668" s="51"/>
      <c r="D668" s="51"/>
      <c r="E668" s="51"/>
      <c r="F668" s="51"/>
    </row>
    <row r="669" spans="1:6" s="69" customFormat="1" ht="12" customHeight="1" x14ac:dyDescent="0.3">
      <c r="A669" s="57"/>
      <c r="B669" s="51"/>
      <c r="C669" s="51"/>
      <c r="D669" s="51"/>
      <c r="E669" s="51"/>
      <c r="F669" s="51"/>
    </row>
    <row r="670" spans="1:6" s="69" customFormat="1" ht="12" customHeight="1" x14ac:dyDescent="0.3">
      <c r="A670" s="57"/>
      <c r="B670" s="51"/>
      <c r="C670" s="51"/>
      <c r="D670" s="51"/>
      <c r="E670" s="51"/>
      <c r="F670" s="51"/>
    </row>
    <row r="671" spans="1:6" s="69" customFormat="1" ht="12" customHeight="1" x14ac:dyDescent="0.3">
      <c r="A671" s="57"/>
      <c r="B671" s="51"/>
      <c r="C671" s="51"/>
      <c r="D671" s="51"/>
      <c r="E671" s="51"/>
      <c r="F671" s="51"/>
    </row>
    <row r="672" spans="1:6" s="69" customFormat="1" ht="12" customHeight="1" x14ac:dyDescent="0.3">
      <c r="A672" s="57"/>
      <c r="B672" s="51"/>
      <c r="C672" s="51"/>
      <c r="D672" s="51"/>
      <c r="E672" s="51"/>
      <c r="F672" s="51"/>
    </row>
    <row r="673" spans="1:6" s="69" customFormat="1" ht="12" customHeight="1" x14ac:dyDescent="0.3">
      <c r="A673" s="57"/>
      <c r="B673" s="51"/>
      <c r="C673" s="51"/>
      <c r="D673" s="51"/>
      <c r="E673" s="51"/>
      <c r="F673" s="51"/>
    </row>
    <row r="674" spans="1:6" s="69" customFormat="1" ht="12" customHeight="1" x14ac:dyDescent="0.3">
      <c r="A674" s="57"/>
      <c r="B674" s="51"/>
      <c r="C674" s="51"/>
      <c r="D674" s="51"/>
      <c r="E674" s="51"/>
      <c r="F674" s="51"/>
    </row>
    <row r="675" spans="1:6" s="69" customFormat="1" ht="12" customHeight="1" x14ac:dyDescent="0.3">
      <c r="A675" s="57"/>
      <c r="B675" s="51"/>
      <c r="C675" s="51"/>
      <c r="D675" s="51"/>
      <c r="E675" s="51"/>
      <c r="F675" s="51"/>
    </row>
    <row r="676" spans="1:6" s="69" customFormat="1" ht="12" customHeight="1" x14ac:dyDescent="0.3">
      <c r="A676" s="57"/>
      <c r="B676" s="51"/>
      <c r="C676" s="51"/>
      <c r="D676" s="51"/>
      <c r="E676" s="51"/>
      <c r="F676" s="51"/>
    </row>
    <row r="677" spans="1:6" s="69" customFormat="1" ht="12" customHeight="1" x14ac:dyDescent="0.3">
      <c r="A677" s="57"/>
      <c r="B677" s="51"/>
      <c r="C677" s="51"/>
      <c r="D677" s="51"/>
      <c r="E677" s="51"/>
      <c r="F677" s="51"/>
    </row>
    <row r="678" spans="1:6" s="69" customFormat="1" ht="12" customHeight="1" x14ac:dyDescent="0.3">
      <c r="A678" s="57"/>
      <c r="B678" s="51"/>
      <c r="C678" s="51"/>
      <c r="D678" s="51"/>
      <c r="E678" s="51"/>
      <c r="F678" s="51"/>
    </row>
    <row r="679" spans="1:6" s="69" customFormat="1" ht="12" customHeight="1" x14ac:dyDescent="0.3">
      <c r="A679" s="57"/>
      <c r="B679" s="51"/>
      <c r="C679" s="51"/>
      <c r="D679" s="51"/>
      <c r="E679" s="51"/>
      <c r="F679" s="51"/>
    </row>
    <row r="680" spans="1:6" s="69" customFormat="1" ht="12" customHeight="1" x14ac:dyDescent="0.3">
      <c r="A680" s="57"/>
      <c r="B680" s="51"/>
      <c r="C680" s="51"/>
      <c r="D680" s="51"/>
      <c r="E680" s="51"/>
      <c r="F680" s="51"/>
    </row>
    <row r="681" spans="1:6" s="69" customFormat="1" ht="12" customHeight="1" x14ac:dyDescent="0.3">
      <c r="A681" s="57"/>
      <c r="B681" s="51"/>
      <c r="C681" s="51"/>
      <c r="D681" s="51"/>
      <c r="E681" s="51"/>
      <c r="F681" s="51"/>
    </row>
    <row r="682" spans="1:6" s="69" customFormat="1" ht="12" customHeight="1" x14ac:dyDescent="0.3">
      <c r="A682" s="57"/>
      <c r="B682" s="51"/>
      <c r="C682" s="51"/>
      <c r="D682" s="51"/>
      <c r="E682" s="51"/>
      <c r="F682" s="51"/>
    </row>
    <row r="683" spans="1:6" s="69" customFormat="1" ht="12" customHeight="1" x14ac:dyDescent="0.3">
      <c r="A683" s="57"/>
      <c r="B683" s="51"/>
      <c r="C683" s="51"/>
      <c r="D683" s="51"/>
      <c r="E683" s="51"/>
      <c r="F683" s="51"/>
    </row>
    <row r="684" spans="1:6" s="69" customFormat="1" ht="12" customHeight="1" x14ac:dyDescent="0.3">
      <c r="A684" s="57"/>
      <c r="B684" s="51"/>
      <c r="C684" s="51"/>
      <c r="D684" s="51"/>
      <c r="E684" s="51"/>
      <c r="F684" s="51"/>
    </row>
    <row r="685" spans="1:6" s="69" customFormat="1" ht="12" customHeight="1" x14ac:dyDescent="0.3">
      <c r="A685" s="57"/>
      <c r="B685" s="51"/>
      <c r="C685" s="51"/>
      <c r="D685" s="51"/>
      <c r="E685" s="51"/>
      <c r="F685" s="51"/>
    </row>
    <row r="686" spans="1:6" s="69" customFormat="1" ht="12" customHeight="1" x14ac:dyDescent="0.3">
      <c r="A686" s="57"/>
      <c r="B686" s="51"/>
      <c r="C686" s="51"/>
      <c r="D686" s="51"/>
      <c r="E686" s="51"/>
      <c r="F686" s="51"/>
    </row>
    <row r="687" spans="1:6" s="69" customFormat="1" ht="12" customHeight="1" x14ac:dyDescent="0.3">
      <c r="A687" s="57"/>
      <c r="B687" s="51"/>
      <c r="C687" s="51"/>
      <c r="D687" s="51"/>
      <c r="E687" s="51"/>
      <c r="F687" s="51"/>
    </row>
    <row r="688" spans="1:6" s="69" customFormat="1" ht="12" customHeight="1" x14ac:dyDescent="0.3">
      <c r="A688" s="57"/>
      <c r="B688" s="51"/>
      <c r="C688" s="51"/>
      <c r="D688" s="51"/>
      <c r="E688" s="51"/>
      <c r="F688" s="51"/>
    </row>
    <row r="689" spans="1:6" s="69" customFormat="1" ht="12" customHeight="1" x14ac:dyDescent="0.3">
      <c r="A689" s="57"/>
      <c r="B689" s="51"/>
      <c r="C689" s="51"/>
      <c r="D689" s="51"/>
      <c r="E689" s="51"/>
      <c r="F689" s="51"/>
    </row>
    <row r="690" spans="1:6" s="69" customFormat="1" ht="12" customHeight="1" x14ac:dyDescent="0.3">
      <c r="A690" s="57"/>
      <c r="B690" s="51"/>
      <c r="C690" s="51"/>
      <c r="D690" s="51"/>
      <c r="E690" s="51"/>
      <c r="F690" s="51"/>
    </row>
    <row r="691" spans="1:6" s="69" customFormat="1" ht="12" customHeight="1" x14ac:dyDescent="0.3">
      <c r="A691" s="57"/>
      <c r="B691" s="51"/>
      <c r="C691" s="51"/>
      <c r="D691" s="51"/>
      <c r="E691" s="51"/>
      <c r="F691" s="51"/>
    </row>
    <row r="692" spans="1:6" s="69" customFormat="1" ht="12" customHeight="1" x14ac:dyDescent="0.3">
      <c r="A692" s="57"/>
      <c r="B692" s="51"/>
      <c r="C692" s="51"/>
      <c r="D692" s="51"/>
      <c r="E692" s="51"/>
      <c r="F692" s="51"/>
    </row>
    <row r="693" spans="1:6" s="69" customFormat="1" ht="12" customHeight="1" x14ac:dyDescent="0.3">
      <c r="A693" s="57"/>
      <c r="B693" s="51"/>
      <c r="C693" s="51"/>
      <c r="D693" s="51"/>
      <c r="E693" s="51"/>
      <c r="F693" s="51"/>
    </row>
    <row r="694" spans="1:6" s="69" customFormat="1" ht="12" customHeight="1" x14ac:dyDescent="0.3">
      <c r="A694" s="57"/>
      <c r="B694" s="51"/>
      <c r="C694" s="51"/>
      <c r="D694" s="51"/>
      <c r="E694" s="51"/>
      <c r="F694" s="51"/>
    </row>
    <row r="695" spans="1:6" s="69" customFormat="1" ht="12" customHeight="1" x14ac:dyDescent="0.3">
      <c r="A695" s="57"/>
      <c r="B695" s="51"/>
      <c r="C695" s="51"/>
      <c r="D695" s="51"/>
      <c r="E695" s="51"/>
      <c r="F695" s="51"/>
    </row>
    <row r="696" spans="1:6" s="69" customFormat="1" ht="12" customHeight="1" x14ac:dyDescent="0.3">
      <c r="A696" s="57"/>
      <c r="B696" s="51"/>
      <c r="C696" s="51"/>
      <c r="D696" s="51"/>
      <c r="E696" s="51"/>
      <c r="F696" s="51"/>
    </row>
    <row r="697" spans="1:6" s="69" customFormat="1" ht="12" customHeight="1" x14ac:dyDescent="0.3">
      <c r="A697" s="57"/>
      <c r="B697" s="51"/>
      <c r="C697" s="51"/>
      <c r="D697" s="51"/>
      <c r="E697" s="51"/>
      <c r="F697" s="51"/>
    </row>
    <row r="698" spans="1:6" s="69" customFormat="1" ht="12" customHeight="1" x14ac:dyDescent="0.3">
      <c r="A698" s="57"/>
      <c r="B698" s="51"/>
      <c r="C698" s="51"/>
      <c r="D698" s="51"/>
      <c r="E698" s="51"/>
      <c r="F698" s="51"/>
    </row>
    <row r="699" spans="1:6" s="69" customFormat="1" ht="12" customHeight="1" x14ac:dyDescent="0.3">
      <c r="A699" s="57"/>
      <c r="B699" s="51"/>
      <c r="C699" s="51"/>
      <c r="D699" s="51"/>
      <c r="E699" s="51"/>
      <c r="F699" s="51"/>
    </row>
    <row r="700" spans="1:6" s="69" customFormat="1" ht="12" customHeight="1" x14ac:dyDescent="0.3">
      <c r="A700" s="57"/>
      <c r="B700" s="51"/>
      <c r="C700" s="51"/>
      <c r="D700" s="51"/>
      <c r="E700" s="51"/>
      <c r="F700" s="51"/>
    </row>
    <row r="701" spans="1:6" s="69" customFormat="1" ht="12" customHeight="1" x14ac:dyDescent="0.3">
      <c r="A701" s="57"/>
      <c r="B701" s="51"/>
      <c r="C701" s="51"/>
      <c r="D701" s="51"/>
      <c r="E701" s="51"/>
      <c r="F701" s="51"/>
    </row>
    <row r="702" spans="1:6" s="69" customFormat="1" ht="12" customHeight="1" x14ac:dyDescent="0.3">
      <c r="A702" s="57"/>
      <c r="B702" s="51"/>
      <c r="C702" s="51"/>
      <c r="D702" s="51"/>
      <c r="E702" s="51"/>
      <c r="F702" s="51"/>
    </row>
    <row r="703" spans="1:6" s="69" customFormat="1" ht="12" customHeight="1" x14ac:dyDescent="0.3">
      <c r="A703" s="57"/>
      <c r="B703" s="51"/>
      <c r="C703" s="51"/>
      <c r="D703" s="51"/>
      <c r="E703" s="51"/>
      <c r="F703" s="51"/>
    </row>
    <row r="704" spans="1:6" s="69" customFormat="1" ht="12" customHeight="1" x14ac:dyDescent="0.3">
      <c r="A704" s="57"/>
      <c r="B704" s="51"/>
      <c r="C704" s="51"/>
      <c r="D704" s="51"/>
      <c r="E704" s="51"/>
      <c r="F704" s="51"/>
    </row>
    <row r="705" spans="1:6" s="69" customFormat="1" ht="12" customHeight="1" x14ac:dyDescent="0.3">
      <c r="A705" s="57"/>
      <c r="B705" s="51"/>
      <c r="C705" s="51"/>
      <c r="D705" s="51"/>
      <c r="E705" s="51"/>
      <c r="F705" s="51"/>
    </row>
    <row r="706" spans="1:6" s="69" customFormat="1" ht="12" customHeight="1" x14ac:dyDescent="0.3">
      <c r="A706" s="57"/>
      <c r="B706" s="51"/>
      <c r="C706" s="51"/>
      <c r="D706" s="51"/>
      <c r="E706" s="51"/>
      <c r="F706" s="51"/>
    </row>
    <row r="707" spans="1:6" s="69" customFormat="1" ht="12" customHeight="1" x14ac:dyDescent="0.3">
      <c r="A707" s="57"/>
      <c r="B707" s="51"/>
      <c r="C707" s="51"/>
      <c r="D707" s="51"/>
      <c r="E707" s="51"/>
      <c r="F707" s="51"/>
    </row>
    <row r="708" spans="1:6" s="69" customFormat="1" ht="12" customHeight="1" x14ac:dyDescent="0.3">
      <c r="A708" s="57"/>
      <c r="B708" s="51"/>
      <c r="C708" s="51"/>
      <c r="D708" s="51"/>
      <c r="E708" s="51"/>
      <c r="F708" s="51"/>
    </row>
    <row r="709" spans="1:6" s="69" customFormat="1" ht="12" customHeight="1" x14ac:dyDescent="0.3">
      <c r="A709" s="57"/>
      <c r="B709" s="51"/>
      <c r="C709" s="51"/>
      <c r="D709" s="51"/>
      <c r="E709" s="51"/>
      <c r="F709" s="51"/>
    </row>
    <row r="710" spans="1:6" s="69" customFormat="1" ht="12" customHeight="1" x14ac:dyDescent="0.3">
      <c r="A710" s="57"/>
      <c r="B710" s="51"/>
      <c r="C710" s="51"/>
      <c r="D710" s="51"/>
      <c r="E710" s="51"/>
      <c r="F710" s="51"/>
    </row>
    <row r="711" spans="1:6" s="69" customFormat="1" ht="12" customHeight="1" x14ac:dyDescent="0.3">
      <c r="A711" s="57"/>
      <c r="B711" s="51"/>
      <c r="C711" s="51"/>
      <c r="D711" s="51"/>
      <c r="E711" s="51"/>
      <c r="F711" s="51"/>
    </row>
    <row r="712" spans="1:6" s="69" customFormat="1" ht="12" customHeight="1" x14ac:dyDescent="0.3">
      <c r="A712" s="57"/>
      <c r="B712" s="51"/>
      <c r="C712" s="51"/>
      <c r="D712" s="51"/>
      <c r="E712" s="51"/>
      <c r="F712" s="51"/>
    </row>
    <row r="713" spans="1:6" s="69" customFormat="1" ht="12" customHeight="1" x14ac:dyDescent="0.3">
      <c r="A713" s="57"/>
      <c r="B713" s="51"/>
      <c r="C713" s="51"/>
      <c r="D713" s="51"/>
      <c r="E713" s="51"/>
      <c r="F713" s="51"/>
    </row>
    <row r="714" spans="1:6" s="69" customFormat="1" ht="12" customHeight="1" x14ac:dyDescent="0.3">
      <c r="A714" s="57"/>
      <c r="B714" s="51"/>
      <c r="C714" s="51"/>
      <c r="D714" s="51"/>
      <c r="E714" s="51"/>
      <c r="F714" s="51"/>
    </row>
    <row r="715" spans="1:6" s="69" customFormat="1" ht="12" customHeight="1" x14ac:dyDescent="0.3">
      <c r="A715" s="57"/>
      <c r="B715" s="51"/>
      <c r="C715" s="51"/>
      <c r="D715" s="51"/>
      <c r="E715" s="51"/>
      <c r="F715" s="51"/>
    </row>
    <row r="716" spans="1:6" s="69" customFormat="1" ht="12" customHeight="1" x14ac:dyDescent="0.3">
      <c r="A716" s="57"/>
      <c r="B716" s="51"/>
      <c r="C716" s="51"/>
      <c r="D716" s="51"/>
      <c r="E716" s="51"/>
      <c r="F716" s="51"/>
    </row>
    <row r="717" spans="1:6" s="69" customFormat="1" ht="12" customHeight="1" x14ac:dyDescent="0.3">
      <c r="A717" s="57"/>
      <c r="B717" s="51"/>
      <c r="C717" s="51"/>
      <c r="D717" s="51"/>
      <c r="E717" s="51"/>
      <c r="F717" s="51"/>
    </row>
    <row r="718" spans="1:6" s="69" customFormat="1" ht="12" customHeight="1" x14ac:dyDescent="0.3">
      <c r="A718" s="57"/>
      <c r="B718" s="51"/>
      <c r="C718" s="51"/>
      <c r="D718" s="51"/>
      <c r="E718" s="51"/>
      <c r="F718" s="51"/>
    </row>
    <row r="719" spans="1:6" s="69" customFormat="1" ht="12" customHeight="1" x14ac:dyDescent="0.3">
      <c r="A719" s="57"/>
      <c r="B719" s="51"/>
      <c r="C719" s="51"/>
      <c r="D719" s="51"/>
      <c r="E719" s="51"/>
      <c r="F719" s="51"/>
    </row>
    <row r="720" spans="1:6" s="69" customFormat="1" ht="12" customHeight="1" x14ac:dyDescent="0.3">
      <c r="A720" s="57"/>
      <c r="B720" s="51"/>
      <c r="C720" s="51"/>
      <c r="D720" s="51"/>
      <c r="E720" s="51"/>
      <c r="F720" s="51"/>
    </row>
    <row r="721" spans="1:6" s="69" customFormat="1" ht="12" customHeight="1" x14ac:dyDescent="0.3">
      <c r="A721" s="57"/>
      <c r="B721" s="51"/>
      <c r="C721" s="51"/>
      <c r="D721" s="51"/>
      <c r="E721" s="51"/>
      <c r="F721" s="51"/>
    </row>
    <row r="722" spans="1:6" s="69" customFormat="1" ht="12" customHeight="1" x14ac:dyDescent="0.3">
      <c r="A722" s="57"/>
      <c r="B722" s="51"/>
      <c r="C722" s="51"/>
      <c r="D722" s="51"/>
      <c r="E722" s="51"/>
      <c r="F722" s="51"/>
    </row>
    <row r="723" spans="1:6" s="69" customFormat="1" ht="12" customHeight="1" x14ac:dyDescent="0.3">
      <c r="A723" s="57"/>
      <c r="B723" s="51"/>
      <c r="C723" s="51"/>
      <c r="D723" s="51"/>
      <c r="E723" s="51"/>
      <c r="F723" s="51"/>
    </row>
    <row r="724" spans="1:6" s="69" customFormat="1" ht="12" customHeight="1" x14ac:dyDescent="0.3">
      <c r="A724" s="57"/>
      <c r="B724" s="51"/>
      <c r="C724" s="51"/>
      <c r="D724" s="51"/>
      <c r="E724" s="51"/>
      <c r="F724" s="51"/>
    </row>
    <row r="725" spans="1:6" s="69" customFormat="1" ht="12" customHeight="1" x14ac:dyDescent="0.3">
      <c r="A725" s="57"/>
      <c r="B725" s="51"/>
      <c r="C725" s="51"/>
      <c r="D725" s="51"/>
      <c r="E725" s="51"/>
      <c r="F725" s="51"/>
    </row>
    <row r="726" spans="1:6" s="69" customFormat="1" ht="12" customHeight="1" x14ac:dyDescent="0.3">
      <c r="A726" s="57"/>
      <c r="B726" s="51"/>
      <c r="C726" s="51"/>
      <c r="D726" s="51"/>
      <c r="E726" s="51"/>
      <c r="F726" s="51"/>
    </row>
    <row r="727" spans="1:6" s="69" customFormat="1" ht="12" customHeight="1" x14ac:dyDescent="0.3">
      <c r="A727" s="57"/>
      <c r="B727" s="51"/>
      <c r="C727" s="51"/>
      <c r="D727" s="51"/>
      <c r="E727" s="51"/>
      <c r="F727" s="51"/>
    </row>
    <row r="728" spans="1:6" s="69" customFormat="1" ht="12" customHeight="1" x14ac:dyDescent="0.3">
      <c r="A728" s="57"/>
      <c r="B728" s="51"/>
      <c r="C728" s="51"/>
      <c r="D728" s="51"/>
      <c r="E728" s="51"/>
      <c r="F728" s="51"/>
    </row>
    <row r="729" spans="1:6" s="69" customFormat="1" ht="12" customHeight="1" x14ac:dyDescent="0.3">
      <c r="A729" s="57"/>
      <c r="B729" s="51"/>
      <c r="C729" s="51"/>
      <c r="D729" s="51"/>
      <c r="E729" s="51"/>
      <c r="F729" s="51"/>
    </row>
    <row r="730" spans="1:6" s="69" customFormat="1" ht="12" customHeight="1" x14ac:dyDescent="0.3">
      <c r="A730" s="57"/>
      <c r="B730" s="51"/>
      <c r="C730" s="51"/>
      <c r="D730" s="51"/>
      <c r="E730" s="51"/>
      <c r="F730" s="51"/>
    </row>
    <row r="731" spans="1:6" s="69" customFormat="1" ht="12" customHeight="1" x14ac:dyDescent="0.3">
      <c r="A731" s="57"/>
      <c r="B731" s="51"/>
      <c r="C731" s="51"/>
      <c r="D731" s="51"/>
      <c r="E731" s="51"/>
      <c r="F731" s="51"/>
    </row>
    <row r="732" spans="1:6" s="69" customFormat="1" ht="12" customHeight="1" x14ac:dyDescent="0.3">
      <c r="A732" s="57"/>
      <c r="B732" s="51"/>
      <c r="C732" s="51"/>
      <c r="D732" s="51"/>
      <c r="E732" s="51"/>
      <c r="F732" s="51"/>
    </row>
    <row r="733" spans="1:6" s="69" customFormat="1" ht="12" customHeight="1" x14ac:dyDescent="0.3">
      <c r="A733" s="57"/>
      <c r="B733" s="51"/>
      <c r="C733" s="51"/>
      <c r="D733" s="51"/>
      <c r="E733" s="51"/>
      <c r="F733" s="51"/>
    </row>
    <row r="734" spans="1:6" s="69" customFormat="1" ht="12" customHeight="1" x14ac:dyDescent="0.3">
      <c r="A734" s="57"/>
      <c r="B734" s="51"/>
      <c r="C734" s="51"/>
      <c r="D734" s="51"/>
      <c r="E734" s="51"/>
      <c r="F734" s="51"/>
    </row>
    <row r="735" spans="1:6" s="69" customFormat="1" ht="12" customHeight="1" x14ac:dyDescent="0.3">
      <c r="A735" s="57"/>
      <c r="B735" s="51"/>
      <c r="C735" s="51"/>
      <c r="D735" s="51"/>
      <c r="E735" s="51"/>
      <c r="F735" s="51"/>
    </row>
    <row r="736" spans="1:6" s="69" customFormat="1" ht="12" customHeight="1" x14ac:dyDescent="0.3">
      <c r="A736" s="57"/>
      <c r="B736" s="51"/>
      <c r="C736" s="51"/>
      <c r="D736" s="51"/>
      <c r="E736" s="51"/>
      <c r="F736" s="51"/>
    </row>
    <row r="737" spans="1:6" s="69" customFormat="1" ht="12" customHeight="1" x14ac:dyDescent="0.3">
      <c r="A737" s="57"/>
      <c r="B737" s="51"/>
      <c r="C737" s="51"/>
      <c r="D737" s="51"/>
      <c r="E737" s="51"/>
      <c r="F737" s="51"/>
    </row>
    <row r="738" spans="1:6" s="69" customFormat="1" ht="12" customHeight="1" x14ac:dyDescent="0.3">
      <c r="A738" s="57"/>
      <c r="B738" s="51"/>
      <c r="C738" s="51"/>
      <c r="D738" s="51"/>
      <c r="E738" s="51"/>
      <c r="F738" s="51"/>
    </row>
    <row r="739" spans="1:6" s="69" customFormat="1" ht="12" customHeight="1" x14ac:dyDescent="0.3">
      <c r="A739" s="57"/>
      <c r="B739" s="51"/>
      <c r="C739" s="51"/>
      <c r="D739" s="51"/>
      <c r="E739" s="51"/>
      <c r="F739" s="51"/>
    </row>
    <row r="740" spans="1:6" s="69" customFormat="1" ht="12" customHeight="1" x14ac:dyDescent="0.3">
      <c r="A740" s="57"/>
      <c r="B740" s="51"/>
      <c r="C740" s="51"/>
      <c r="D740" s="51"/>
      <c r="E740" s="51"/>
      <c r="F740" s="51"/>
    </row>
    <row r="741" spans="1:6" s="69" customFormat="1" ht="12" customHeight="1" x14ac:dyDescent="0.3">
      <c r="A741" s="57"/>
      <c r="B741" s="51"/>
      <c r="C741" s="51"/>
      <c r="D741" s="51"/>
      <c r="E741" s="51"/>
      <c r="F741" s="51"/>
    </row>
    <row r="742" spans="1:6" s="69" customFormat="1" ht="12" customHeight="1" x14ac:dyDescent="0.3">
      <c r="A742" s="57"/>
      <c r="B742" s="51"/>
      <c r="C742" s="51"/>
      <c r="D742" s="51"/>
      <c r="E742" s="51"/>
      <c r="F742" s="51"/>
    </row>
    <row r="743" spans="1:6" s="69" customFormat="1" ht="12" customHeight="1" x14ac:dyDescent="0.3">
      <c r="A743" s="57"/>
      <c r="B743" s="51"/>
      <c r="C743" s="51"/>
      <c r="D743" s="51"/>
      <c r="E743" s="51"/>
      <c r="F743" s="51"/>
    </row>
    <row r="744" spans="1:6" s="69" customFormat="1" ht="12" customHeight="1" x14ac:dyDescent="0.3">
      <c r="A744" s="57"/>
      <c r="B744" s="51"/>
      <c r="C744" s="51"/>
      <c r="D744" s="51"/>
      <c r="E744" s="51"/>
      <c r="F744" s="51"/>
    </row>
    <row r="745" spans="1:6" s="69" customFormat="1" ht="12" customHeight="1" x14ac:dyDescent="0.3">
      <c r="A745" s="57"/>
      <c r="B745" s="51"/>
      <c r="C745" s="51"/>
      <c r="D745" s="51"/>
      <c r="E745" s="51"/>
      <c r="F745" s="51"/>
    </row>
    <row r="746" spans="1:6" s="69" customFormat="1" ht="12" customHeight="1" x14ac:dyDescent="0.3">
      <c r="A746" s="57"/>
      <c r="B746" s="51"/>
      <c r="C746" s="51"/>
      <c r="D746" s="51"/>
      <c r="E746" s="51"/>
      <c r="F746" s="51"/>
    </row>
    <row r="747" spans="1:6" s="69" customFormat="1" ht="12" customHeight="1" x14ac:dyDescent="0.3">
      <c r="A747" s="57"/>
      <c r="B747" s="51"/>
      <c r="C747" s="51"/>
      <c r="D747" s="51"/>
      <c r="E747" s="51"/>
      <c r="F747" s="51"/>
    </row>
    <row r="748" spans="1:6" s="69" customFormat="1" ht="12" customHeight="1" x14ac:dyDescent="0.3">
      <c r="A748" s="57"/>
      <c r="B748" s="51"/>
      <c r="C748" s="51"/>
      <c r="D748" s="51"/>
      <c r="E748" s="51"/>
      <c r="F748" s="51"/>
    </row>
    <row r="749" spans="1:6" s="69" customFormat="1" ht="12" customHeight="1" x14ac:dyDescent="0.3">
      <c r="A749" s="57"/>
      <c r="B749" s="51"/>
      <c r="C749" s="51"/>
      <c r="D749" s="51"/>
      <c r="E749" s="51"/>
      <c r="F749" s="51"/>
    </row>
    <row r="750" spans="1:6" s="69" customFormat="1" ht="12" customHeight="1" x14ac:dyDescent="0.3">
      <c r="A750" s="57"/>
      <c r="B750" s="51"/>
      <c r="C750" s="51"/>
      <c r="D750" s="51"/>
      <c r="E750" s="51"/>
      <c r="F750" s="51"/>
    </row>
    <row r="751" spans="1:6" s="69" customFormat="1" ht="12" customHeight="1" x14ac:dyDescent="0.3">
      <c r="A751" s="57"/>
      <c r="B751" s="51"/>
      <c r="C751" s="51"/>
      <c r="D751" s="51"/>
      <c r="E751" s="51"/>
      <c r="F751" s="51"/>
    </row>
    <row r="752" spans="1:6" s="69" customFormat="1" ht="12" customHeight="1" x14ac:dyDescent="0.3">
      <c r="A752" s="57"/>
      <c r="B752" s="51"/>
      <c r="C752" s="51"/>
      <c r="D752" s="51"/>
      <c r="E752" s="51"/>
      <c r="F752" s="51"/>
    </row>
    <row r="753" spans="1:6" s="69" customFormat="1" ht="12" customHeight="1" x14ac:dyDescent="0.3">
      <c r="A753" s="57"/>
      <c r="B753" s="51"/>
      <c r="C753" s="51"/>
      <c r="D753" s="51"/>
      <c r="E753" s="51"/>
      <c r="F753" s="51"/>
    </row>
    <row r="754" spans="1:6" s="69" customFormat="1" ht="12" customHeight="1" x14ac:dyDescent="0.3">
      <c r="A754" s="57"/>
      <c r="B754" s="51"/>
      <c r="C754" s="51"/>
      <c r="D754" s="51"/>
      <c r="E754" s="51"/>
      <c r="F754" s="51"/>
    </row>
    <row r="755" spans="1:6" s="69" customFormat="1" ht="12" customHeight="1" x14ac:dyDescent="0.3">
      <c r="A755" s="57"/>
      <c r="B755" s="51"/>
      <c r="C755" s="51"/>
      <c r="D755" s="51"/>
      <c r="E755" s="51"/>
      <c r="F755" s="51"/>
    </row>
    <row r="756" spans="1:6" s="69" customFormat="1" ht="12" customHeight="1" x14ac:dyDescent="0.3">
      <c r="A756" s="57"/>
      <c r="B756" s="51"/>
      <c r="C756" s="51"/>
      <c r="D756" s="51"/>
      <c r="E756" s="51"/>
      <c r="F756" s="51"/>
    </row>
    <row r="757" spans="1:6" s="69" customFormat="1" ht="12" customHeight="1" x14ac:dyDescent="0.3">
      <c r="A757" s="57"/>
      <c r="B757" s="51"/>
      <c r="C757" s="51"/>
      <c r="D757" s="51"/>
      <c r="E757" s="51"/>
      <c r="F757" s="51"/>
    </row>
    <row r="758" spans="1:6" s="69" customFormat="1" ht="12" customHeight="1" x14ac:dyDescent="0.3">
      <c r="A758" s="57"/>
      <c r="B758" s="51"/>
      <c r="C758" s="51"/>
      <c r="D758" s="51"/>
      <c r="E758" s="51"/>
      <c r="F758" s="51"/>
    </row>
    <row r="759" spans="1:6" s="69" customFormat="1" ht="12" customHeight="1" x14ac:dyDescent="0.3">
      <c r="A759" s="57"/>
      <c r="B759" s="51"/>
      <c r="C759" s="51"/>
      <c r="D759" s="51"/>
      <c r="E759" s="51"/>
      <c r="F759" s="51"/>
    </row>
    <row r="760" spans="1:6" s="69" customFormat="1" ht="12" customHeight="1" x14ac:dyDescent="0.3">
      <c r="A760" s="57"/>
      <c r="B760" s="51"/>
      <c r="C760" s="51"/>
      <c r="D760" s="51"/>
      <c r="E760" s="51"/>
      <c r="F760" s="51"/>
    </row>
    <row r="761" spans="1:6" s="69" customFormat="1" ht="12" customHeight="1" x14ac:dyDescent="0.3">
      <c r="A761" s="57"/>
      <c r="B761" s="51"/>
      <c r="C761" s="51"/>
      <c r="D761" s="51"/>
      <c r="E761" s="51"/>
      <c r="F761" s="51"/>
    </row>
    <row r="762" spans="1:6" s="69" customFormat="1" ht="12" customHeight="1" x14ac:dyDescent="0.3">
      <c r="A762" s="57"/>
      <c r="B762" s="51"/>
      <c r="C762" s="51"/>
      <c r="D762" s="51"/>
      <c r="E762" s="51"/>
      <c r="F762" s="51"/>
    </row>
    <row r="763" spans="1:6" s="69" customFormat="1" ht="12" customHeight="1" x14ac:dyDescent="0.3">
      <c r="A763" s="57"/>
      <c r="B763" s="51"/>
      <c r="C763" s="51"/>
      <c r="D763" s="51"/>
      <c r="E763" s="51"/>
      <c r="F763" s="51"/>
    </row>
    <row r="764" spans="1:6" s="69" customFormat="1" ht="12" customHeight="1" x14ac:dyDescent="0.3">
      <c r="A764" s="57"/>
      <c r="B764" s="51"/>
      <c r="C764" s="51"/>
      <c r="D764" s="51"/>
      <c r="E764" s="51"/>
      <c r="F764" s="51"/>
    </row>
    <row r="765" spans="1:6" s="69" customFormat="1" ht="12" customHeight="1" x14ac:dyDescent="0.3">
      <c r="A765" s="57"/>
      <c r="B765" s="51"/>
      <c r="C765" s="51"/>
      <c r="D765" s="51"/>
      <c r="E765" s="51"/>
      <c r="F765" s="51"/>
    </row>
    <row r="766" spans="1:6" s="69" customFormat="1" ht="12" customHeight="1" x14ac:dyDescent="0.3">
      <c r="A766" s="57"/>
      <c r="B766" s="51"/>
      <c r="C766" s="51"/>
      <c r="D766" s="51"/>
      <c r="E766" s="51"/>
      <c r="F766" s="51"/>
    </row>
    <row r="767" spans="1:6" s="69" customFormat="1" ht="12" customHeight="1" x14ac:dyDescent="0.3">
      <c r="A767" s="57"/>
      <c r="B767" s="51"/>
      <c r="C767" s="51"/>
      <c r="D767" s="51"/>
      <c r="E767" s="51"/>
      <c r="F767" s="51"/>
    </row>
    <row r="768" spans="1:6" s="69" customFormat="1" ht="12" customHeight="1" x14ac:dyDescent="0.3">
      <c r="A768" s="57"/>
      <c r="B768" s="51"/>
      <c r="C768" s="51"/>
      <c r="D768" s="51"/>
      <c r="E768" s="51"/>
      <c r="F768" s="51"/>
    </row>
    <row r="769" spans="1:6" s="69" customFormat="1" ht="12" customHeight="1" x14ac:dyDescent="0.3">
      <c r="A769" s="57"/>
      <c r="B769" s="51"/>
      <c r="C769" s="51"/>
      <c r="D769" s="51"/>
      <c r="E769" s="51"/>
      <c r="F769" s="51"/>
    </row>
    <row r="770" spans="1:6" s="69" customFormat="1" ht="12" customHeight="1" x14ac:dyDescent="0.3">
      <c r="A770" s="57"/>
      <c r="B770" s="51"/>
      <c r="C770" s="51"/>
      <c r="D770" s="51"/>
      <c r="E770" s="51"/>
      <c r="F770" s="51"/>
    </row>
    <row r="771" spans="1:6" s="69" customFormat="1" ht="12" customHeight="1" x14ac:dyDescent="0.3">
      <c r="A771" s="57"/>
      <c r="B771" s="51"/>
      <c r="C771" s="51"/>
      <c r="D771" s="51"/>
      <c r="E771" s="51"/>
      <c r="F771" s="51"/>
    </row>
    <row r="772" spans="1:6" s="69" customFormat="1" ht="12" customHeight="1" x14ac:dyDescent="0.3">
      <c r="A772" s="57"/>
      <c r="B772" s="51"/>
      <c r="C772" s="51"/>
      <c r="D772" s="51"/>
      <c r="E772" s="51"/>
      <c r="F772" s="51"/>
    </row>
    <row r="773" spans="1:6" s="69" customFormat="1" ht="12" customHeight="1" x14ac:dyDescent="0.3">
      <c r="A773" s="57"/>
      <c r="B773" s="51"/>
      <c r="C773" s="51"/>
      <c r="D773" s="51"/>
      <c r="E773" s="51"/>
      <c r="F773" s="51"/>
    </row>
    <row r="774" spans="1:6" s="69" customFormat="1" ht="12" customHeight="1" x14ac:dyDescent="0.3">
      <c r="A774" s="57"/>
      <c r="B774" s="51"/>
      <c r="C774" s="51"/>
      <c r="D774" s="51"/>
      <c r="E774" s="51"/>
      <c r="F774" s="51"/>
    </row>
    <row r="775" spans="1:6" s="69" customFormat="1" ht="12" customHeight="1" x14ac:dyDescent="0.3">
      <c r="A775" s="57"/>
      <c r="B775" s="51"/>
      <c r="C775" s="51"/>
      <c r="D775" s="51"/>
      <c r="E775" s="51"/>
      <c r="F775" s="51"/>
    </row>
    <row r="776" spans="1:6" s="69" customFormat="1" ht="12" customHeight="1" x14ac:dyDescent="0.3">
      <c r="A776" s="57"/>
      <c r="B776" s="51"/>
      <c r="C776" s="51"/>
      <c r="D776" s="51"/>
      <c r="E776" s="51"/>
      <c r="F776" s="51"/>
    </row>
    <row r="777" spans="1:6" s="69" customFormat="1" ht="12" customHeight="1" x14ac:dyDescent="0.3">
      <c r="A777" s="57"/>
      <c r="B777" s="51"/>
      <c r="C777" s="51"/>
      <c r="D777" s="51"/>
      <c r="E777" s="51"/>
      <c r="F777" s="51"/>
    </row>
    <row r="778" spans="1:6" s="69" customFormat="1" ht="12" customHeight="1" x14ac:dyDescent="0.3">
      <c r="A778" s="57"/>
      <c r="B778" s="51"/>
      <c r="C778" s="51"/>
      <c r="D778" s="51"/>
      <c r="E778" s="51"/>
      <c r="F778" s="51"/>
    </row>
    <row r="779" spans="1:6" s="69" customFormat="1" ht="12" customHeight="1" x14ac:dyDescent="0.3">
      <c r="A779" s="57"/>
      <c r="B779" s="51"/>
      <c r="C779" s="51"/>
      <c r="D779" s="51"/>
      <c r="E779" s="51"/>
      <c r="F779" s="51"/>
    </row>
    <row r="780" spans="1:6" s="69" customFormat="1" ht="12" customHeight="1" x14ac:dyDescent="0.3">
      <c r="A780" s="57"/>
      <c r="B780" s="51"/>
      <c r="C780" s="51"/>
      <c r="D780" s="51"/>
      <c r="E780" s="51"/>
      <c r="F780" s="51"/>
    </row>
    <row r="781" spans="1:6" s="69" customFormat="1" ht="12" customHeight="1" x14ac:dyDescent="0.3">
      <c r="A781" s="57"/>
      <c r="B781" s="51"/>
      <c r="C781" s="51"/>
      <c r="D781" s="51"/>
      <c r="E781" s="51"/>
      <c r="F781" s="51"/>
    </row>
    <row r="782" spans="1:6" s="69" customFormat="1" ht="12" customHeight="1" x14ac:dyDescent="0.3">
      <c r="A782" s="57"/>
      <c r="B782" s="51"/>
      <c r="C782" s="51"/>
      <c r="D782" s="51"/>
      <c r="E782" s="51"/>
      <c r="F782" s="51"/>
    </row>
    <row r="783" spans="1:6" s="69" customFormat="1" ht="12" customHeight="1" x14ac:dyDescent="0.3">
      <c r="A783" s="57"/>
      <c r="B783" s="51"/>
      <c r="C783" s="51"/>
      <c r="D783" s="51"/>
      <c r="E783" s="51"/>
      <c r="F783" s="51"/>
    </row>
    <row r="784" spans="1:6" s="69" customFormat="1" ht="12" customHeight="1" x14ac:dyDescent="0.3">
      <c r="A784" s="57"/>
      <c r="B784" s="51"/>
      <c r="C784" s="51"/>
      <c r="D784" s="51"/>
      <c r="E784" s="51"/>
      <c r="F784" s="51"/>
    </row>
    <row r="785" spans="1:6" s="69" customFormat="1" ht="12" customHeight="1" x14ac:dyDescent="0.3">
      <c r="A785" s="57"/>
      <c r="B785" s="51"/>
      <c r="C785" s="51"/>
      <c r="D785" s="51"/>
      <c r="E785" s="51"/>
      <c r="F785" s="51"/>
    </row>
    <row r="786" spans="1:6" s="69" customFormat="1" ht="12" customHeight="1" x14ac:dyDescent="0.3">
      <c r="A786" s="57"/>
      <c r="B786" s="51"/>
      <c r="C786" s="51"/>
      <c r="D786" s="51"/>
      <c r="E786" s="51"/>
      <c r="F786" s="51"/>
    </row>
    <row r="787" spans="1:6" s="69" customFormat="1" ht="12" customHeight="1" x14ac:dyDescent="0.3">
      <c r="A787" s="57"/>
      <c r="B787" s="51"/>
      <c r="C787" s="51"/>
      <c r="D787" s="51"/>
      <c r="E787" s="51"/>
      <c r="F787" s="51"/>
    </row>
    <row r="788" spans="1:6" s="69" customFormat="1" ht="12" customHeight="1" x14ac:dyDescent="0.3">
      <c r="A788" s="57"/>
      <c r="B788" s="51"/>
      <c r="C788" s="51"/>
      <c r="D788" s="51"/>
      <c r="E788" s="51"/>
      <c r="F788" s="51"/>
    </row>
    <row r="789" spans="1:6" s="69" customFormat="1" ht="12" customHeight="1" x14ac:dyDescent="0.3">
      <c r="A789" s="57"/>
      <c r="B789" s="51"/>
      <c r="C789" s="51"/>
      <c r="D789" s="51"/>
      <c r="E789" s="51"/>
      <c r="F789" s="51"/>
    </row>
    <row r="790" spans="1:6" s="69" customFormat="1" ht="12" customHeight="1" x14ac:dyDescent="0.3">
      <c r="A790" s="57"/>
      <c r="B790" s="51"/>
      <c r="C790" s="51"/>
      <c r="D790" s="51"/>
      <c r="E790" s="51"/>
      <c r="F790" s="51"/>
    </row>
    <row r="791" spans="1:6" s="69" customFormat="1" ht="12" customHeight="1" x14ac:dyDescent="0.3">
      <c r="A791" s="57"/>
      <c r="B791" s="51"/>
      <c r="C791" s="51"/>
      <c r="D791" s="51"/>
      <c r="E791" s="51"/>
      <c r="F791" s="51"/>
    </row>
    <row r="792" spans="1:6" s="69" customFormat="1" ht="12" customHeight="1" x14ac:dyDescent="0.3">
      <c r="A792" s="57"/>
      <c r="B792" s="51"/>
      <c r="C792" s="51"/>
      <c r="D792" s="51"/>
      <c r="E792" s="51"/>
      <c r="F792" s="51"/>
    </row>
    <row r="793" spans="1:6" s="69" customFormat="1" ht="12" customHeight="1" x14ac:dyDescent="0.3">
      <c r="A793" s="57"/>
      <c r="B793" s="51"/>
      <c r="C793" s="51"/>
      <c r="D793" s="51"/>
      <c r="E793" s="51"/>
      <c r="F793" s="51"/>
    </row>
    <row r="794" spans="1:6" s="69" customFormat="1" ht="12" customHeight="1" x14ac:dyDescent="0.3">
      <c r="A794" s="57"/>
      <c r="B794" s="51"/>
      <c r="C794" s="51"/>
      <c r="D794" s="51"/>
      <c r="E794" s="51"/>
      <c r="F794" s="51"/>
    </row>
    <row r="795" spans="1:6" s="69" customFormat="1" ht="12" customHeight="1" x14ac:dyDescent="0.3">
      <c r="A795" s="57"/>
      <c r="B795" s="51"/>
      <c r="C795" s="51"/>
      <c r="D795" s="51"/>
      <c r="E795" s="51"/>
      <c r="F795" s="51"/>
    </row>
    <row r="796" spans="1:6" s="69" customFormat="1" ht="12" customHeight="1" x14ac:dyDescent="0.3">
      <c r="A796" s="57"/>
      <c r="B796" s="51"/>
      <c r="C796" s="51"/>
      <c r="D796" s="51"/>
      <c r="E796" s="51"/>
      <c r="F796" s="51"/>
    </row>
    <row r="797" spans="1:6" s="69" customFormat="1" ht="12" customHeight="1" x14ac:dyDescent="0.3">
      <c r="A797" s="57"/>
      <c r="B797" s="51"/>
      <c r="C797" s="51"/>
      <c r="D797" s="51"/>
      <c r="E797" s="51"/>
      <c r="F797" s="51"/>
    </row>
    <row r="798" spans="1:6" s="69" customFormat="1" ht="12" customHeight="1" x14ac:dyDescent="0.3">
      <c r="A798" s="57"/>
      <c r="B798" s="51"/>
      <c r="C798" s="51"/>
      <c r="D798" s="51"/>
      <c r="E798" s="51"/>
      <c r="F798" s="51"/>
    </row>
    <row r="799" spans="1:6" s="69" customFormat="1" ht="12" customHeight="1" x14ac:dyDescent="0.3">
      <c r="A799" s="57"/>
      <c r="B799" s="51"/>
      <c r="C799" s="51"/>
      <c r="D799" s="51"/>
      <c r="E799" s="51"/>
      <c r="F799" s="51"/>
    </row>
    <row r="800" spans="1:6" s="69" customFormat="1" ht="12" customHeight="1" x14ac:dyDescent="0.3">
      <c r="A800" s="57"/>
      <c r="B800" s="51"/>
      <c r="C800" s="51"/>
      <c r="D800" s="51"/>
      <c r="E800" s="51"/>
      <c r="F800" s="51"/>
    </row>
    <row r="801" spans="1:6" s="69" customFormat="1" ht="12" customHeight="1" x14ac:dyDescent="0.3">
      <c r="A801" s="57"/>
      <c r="B801" s="51"/>
      <c r="C801" s="51"/>
      <c r="D801" s="51"/>
      <c r="E801" s="51"/>
      <c r="F801" s="51"/>
    </row>
    <row r="802" spans="1:6" s="69" customFormat="1" ht="12" customHeight="1" x14ac:dyDescent="0.3">
      <c r="A802" s="57"/>
      <c r="B802" s="51"/>
      <c r="C802" s="51"/>
      <c r="D802" s="51"/>
      <c r="E802" s="51"/>
      <c r="F802" s="51"/>
    </row>
    <row r="803" spans="1:6" s="69" customFormat="1" ht="12" customHeight="1" x14ac:dyDescent="0.3">
      <c r="A803" s="57"/>
      <c r="B803" s="51"/>
      <c r="C803" s="51"/>
      <c r="D803" s="51"/>
      <c r="E803" s="51"/>
      <c r="F803" s="51"/>
    </row>
    <row r="804" spans="1:6" s="69" customFormat="1" ht="12" customHeight="1" x14ac:dyDescent="0.3">
      <c r="A804" s="57"/>
      <c r="B804" s="51"/>
      <c r="C804" s="51"/>
      <c r="D804" s="51"/>
      <c r="E804" s="51"/>
      <c r="F804" s="51"/>
    </row>
    <row r="805" spans="1:6" s="69" customFormat="1" ht="12" customHeight="1" x14ac:dyDescent="0.3">
      <c r="A805" s="57"/>
      <c r="B805" s="51"/>
      <c r="C805" s="51"/>
      <c r="D805" s="51"/>
      <c r="E805" s="51"/>
      <c r="F805" s="51"/>
    </row>
    <row r="806" spans="1:6" s="69" customFormat="1" ht="12" customHeight="1" x14ac:dyDescent="0.3">
      <c r="A806" s="57"/>
      <c r="B806" s="51"/>
      <c r="C806" s="51"/>
      <c r="D806" s="51"/>
      <c r="E806" s="51"/>
      <c r="F806" s="51"/>
    </row>
    <row r="807" spans="1:6" s="69" customFormat="1" ht="12" customHeight="1" x14ac:dyDescent="0.3">
      <c r="A807" s="57"/>
      <c r="B807" s="51"/>
      <c r="C807" s="51"/>
      <c r="D807" s="51"/>
      <c r="E807" s="51"/>
      <c r="F807" s="51"/>
    </row>
    <row r="808" spans="1:6" s="69" customFormat="1" ht="12" customHeight="1" x14ac:dyDescent="0.3">
      <c r="A808" s="57"/>
      <c r="B808" s="51"/>
      <c r="C808" s="51"/>
      <c r="D808" s="51"/>
      <c r="E808" s="51"/>
      <c r="F808" s="51"/>
    </row>
    <row r="809" spans="1:6" s="69" customFormat="1" ht="12" customHeight="1" x14ac:dyDescent="0.3">
      <c r="A809" s="57"/>
      <c r="B809" s="51"/>
      <c r="C809" s="51"/>
      <c r="D809" s="51"/>
      <c r="E809" s="51"/>
      <c r="F809" s="51"/>
    </row>
    <row r="810" spans="1:6" s="69" customFormat="1" ht="12" customHeight="1" x14ac:dyDescent="0.3">
      <c r="A810" s="57"/>
      <c r="B810" s="51"/>
      <c r="C810" s="51"/>
      <c r="D810" s="51"/>
      <c r="E810" s="51"/>
      <c r="F810" s="51"/>
    </row>
    <row r="811" spans="1:6" s="69" customFormat="1" ht="12" customHeight="1" x14ac:dyDescent="0.3">
      <c r="A811" s="57"/>
      <c r="B811" s="51"/>
      <c r="C811" s="51"/>
      <c r="D811" s="51"/>
      <c r="E811" s="51"/>
      <c r="F811" s="51"/>
    </row>
    <row r="812" spans="1:6" s="69" customFormat="1" ht="12" customHeight="1" x14ac:dyDescent="0.3">
      <c r="A812" s="57"/>
      <c r="B812" s="51"/>
      <c r="C812" s="51"/>
      <c r="D812" s="51"/>
      <c r="E812" s="51"/>
      <c r="F812" s="51"/>
    </row>
    <row r="813" spans="1:6" s="69" customFormat="1" ht="12" customHeight="1" x14ac:dyDescent="0.3">
      <c r="A813" s="57"/>
      <c r="B813" s="51"/>
      <c r="C813" s="51"/>
      <c r="D813" s="51"/>
      <c r="E813" s="51"/>
      <c r="F813" s="51"/>
    </row>
    <row r="814" spans="1:6" s="69" customFormat="1" ht="12" customHeight="1" x14ac:dyDescent="0.3">
      <c r="A814" s="57"/>
      <c r="B814" s="51"/>
      <c r="C814" s="51"/>
      <c r="D814" s="51"/>
      <c r="E814" s="51"/>
      <c r="F814" s="51"/>
    </row>
    <row r="815" spans="1:6" s="69" customFormat="1" ht="12" customHeight="1" x14ac:dyDescent="0.3">
      <c r="A815" s="57"/>
      <c r="B815" s="51"/>
      <c r="C815" s="51"/>
      <c r="D815" s="51"/>
      <c r="E815" s="51"/>
      <c r="F815" s="51"/>
    </row>
    <row r="816" spans="1:6" s="69" customFormat="1" ht="12" customHeight="1" x14ac:dyDescent="0.3">
      <c r="A816" s="57"/>
      <c r="B816" s="51"/>
      <c r="C816" s="51"/>
      <c r="D816" s="51"/>
      <c r="E816" s="51"/>
      <c r="F816" s="51"/>
    </row>
    <row r="817" spans="1:6" s="69" customFormat="1" ht="12" customHeight="1" x14ac:dyDescent="0.3">
      <c r="A817" s="57"/>
      <c r="B817" s="51"/>
      <c r="C817" s="51"/>
      <c r="D817" s="51"/>
      <c r="E817" s="51"/>
      <c r="F817" s="51"/>
    </row>
    <row r="818" spans="1:6" s="69" customFormat="1" ht="12" customHeight="1" x14ac:dyDescent="0.3">
      <c r="A818" s="57"/>
      <c r="B818" s="51"/>
      <c r="C818" s="51"/>
      <c r="D818" s="51"/>
      <c r="E818" s="51"/>
      <c r="F818" s="51"/>
    </row>
    <row r="819" spans="1:6" s="69" customFormat="1" ht="12" customHeight="1" x14ac:dyDescent="0.3">
      <c r="A819" s="57"/>
      <c r="B819" s="51"/>
      <c r="C819" s="51"/>
      <c r="D819" s="51"/>
      <c r="E819" s="51"/>
      <c r="F819" s="51"/>
    </row>
    <row r="820" spans="1:6" s="69" customFormat="1" ht="12" customHeight="1" x14ac:dyDescent="0.3">
      <c r="A820" s="57"/>
      <c r="B820" s="51"/>
      <c r="C820" s="51"/>
      <c r="D820" s="51"/>
      <c r="E820" s="51"/>
      <c r="F820" s="51"/>
    </row>
    <row r="821" spans="1:6" s="69" customFormat="1" ht="12" customHeight="1" x14ac:dyDescent="0.3">
      <c r="A821" s="57"/>
      <c r="B821" s="51"/>
      <c r="C821" s="51"/>
      <c r="D821" s="51"/>
      <c r="E821" s="51"/>
      <c r="F821" s="51"/>
    </row>
    <row r="822" spans="1:6" s="69" customFormat="1" ht="12" customHeight="1" x14ac:dyDescent="0.3">
      <c r="A822" s="57"/>
      <c r="B822" s="51"/>
      <c r="C822" s="51"/>
      <c r="D822" s="51"/>
      <c r="E822" s="51"/>
      <c r="F822" s="51"/>
    </row>
    <row r="823" spans="1:6" s="69" customFormat="1" ht="12" customHeight="1" x14ac:dyDescent="0.3">
      <c r="A823" s="57"/>
      <c r="B823" s="51"/>
      <c r="C823" s="51"/>
      <c r="D823" s="51"/>
      <c r="E823" s="51"/>
      <c r="F823" s="51"/>
    </row>
    <row r="824" spans="1:6" s="69" customFormat="1" ht="12" customHeight="1" x14ac:dyDescent="0.3">
      <c r="A824" s="57"/>
      <c r="B824" s="51"/>
      <c r="C824" s="51"/>
      <c r="D824" s="51"/>
      <c r="E824" s="51"/>
      <c r="F824" s="51"/>
    </row>
    <row r="825" spans="1:6" s="69" customFormat="1" ht="12" customHeight="1" x14ac:dyDescent="0.3">
      <c r="A825" s="57"/>
      <c r="B825" s="51"/>
      <c r="C825" s="51"/>
      <c r="D825" s="51"/>
      <c r="E825" s="51"/>
      <c r="F825" s="51"/>
    </row>
    <row r="826" spans="1:6" s="69" customFormat="1" ht="12" customHeight="1" x14ac:dyDescent="0.3">
      <c r="A826" s="57"/>
      <c r="B826" s="51"/>
      <c r="C826" s="51"/>
      <c r="D826" s="51"/>
      <c r="E826" s="51"/>
      <c r="F826" s="51"/>
    </row>
    <row r="827" spans="1:6" s="69" customFormat="1" ht="12" customHeight="1" x14ac:dyDescent="0.3">
      <c r="A827" s="57"/>
      <c r="B827" s="51"/>
      <c r="C827" s="51"/>
      <c r="D827" s="51"/>
      <c r="E827" s="51"/>
      <c r="F827" s="51"/>
    </row>
    <row r="828" spans="1:6" s="69" customFormat="1" ht="12" customHeight="1" x14ac:dyDescent="0.3">
      <c r="A828" s="57"/>
      <c r="B828" s="51"/>
      <c r="C828" s="51"/>
      <c r="D828" s="51"/>
      <c r="E828" s="51"/>
      <c r="F828" s="51"/>
    </row>
    <row r="829" spans="1:6" s="69" customFormat="1" ht="12" customHeight="1" x14ac:dyDescent="0.3">
      <c r="A829" s="57"/>
      <c r="B829" s="51"/>
      <c r="C829" s="51"/>
      <c r="D829" s="51"/>
      <c r="E829" s="51"/>
      <c r="F829" s="51"/>
    </row>
    <row r="830" spans="1:6" s="69" customFormat="1" ht="12" customHeight="1" x14ac:dyDescent="0.3">
      <c r="A830" s="57"/>
      <c r="B830" s="51"/>
      <c r="C830" s="51"/>
      <c r="D830" s="51"/>
      <c r="E830" s="51"/>
      <c r="F830" s="51"/>
    </row>
    <row r="831" spans="1:6" s="69" customFormat="1" ht="12" customHeight="1" x14ac:dyDescent="0.3">
      <c r="A831" s="57"/>
      <c r="B831" s="51"/>
      <c r="C831" s="51"/>
      <c r="D831" s="51"/>
      <c r="E831" s="51"/>
      <c r="F831" s="51"/>
    </row>
    <row r="832" spans="1:6" s="69" customFormat="1" ht="12" customHeight="1" x14ac:dyDescent="0.3">
      <c r="A832" s="57"/>
      <c r="B832" s="51"/>
      <c r="C832" s="51"/>
      <c r="D832" s="51"/>
      <c r="E832" s="51"/>
      <c r="F832" s="51"/>
    </row>
    <row r="833" spans="1:6" s="69" customFormat="1" ht="12" customHeight="1" x14ac:dyDescent="0.3">
      <c r="A833" s="57"/>
      <c r="B833" s="51"/>
      <c r="C833" s="51"/>
      <c r="D833" s="51"/>
      <c r="E833" s="51"/>
      <c r="F833" s="51"/>
    </row>
    <row r="834" spans="1:6" s="69" customFormat="1" ht="12" customHeight="1" x14ac:dyDescent="0.3">
      <c r="A834" s="57"/>
      <c r="B834" s="51"/>
      <c r="C834" s="51"/>
      <c r="D834" s="51"/>
      <c r="E834" s="51"/>
      <c r="F834" s="51"/>
    </row>
    <row r="835" spans="1:6" s="69" customFormat="1" ht="12" customHeight="1" x14ac:dyDescent="0.3">
      <c r="A835" s="57"/>
      <c r="B835" s="51"/>
      <c r="C835" s="51"/>
      <c r="D835" s="51"/>
      <c r="E835" s="51"/>
      <c r="F835" s="51"/>
    </row>
    <row r="836" spans="1:6" s="69" customFormat="1" ht="12" customHeight="1" x14ac:dyDescent="0.3">
      <c r="A836" s="57"/>
      <c r="B836" s="51"/>
      <c r="C836" s="51"/>
      <c r="D836" s="51"/>
      <c r="E836" s="51"/>
      <c r="F836" s="51"/>
    </row>
    <row r="837" spans="1:6" s="69" customFormat="1" ht="12" customHeight="1" x14ac:dyDescent="0.3">
      <c r="A837" s="57"/>
      <c r="B837" s="51"/>
      <c r="C837" s="51"/>
      <c r="D837" s="51"/>
      <c r="E837" s="51"/>
      <c r="F837" s="51"/>
    </row>
    <row r="838" spans="1:6" s="69" customFormat="1" ht="12" customHeight="1" x14ac:dyDescent="0.3">
      <c r="A838" s="57"/>
      <c r="B838" s="51"/>
      <c r="C838" s="51"/>
      <c r="D838" s="51"/>
      <c r="E838" s="51"/>
      <c r="F838" s="51"/>
    </row>
    <row r="839" spans="1:6" s="69" customFormat="1" ht="12" customHeight="1" x14ac:dyDescent="0.3">
      <c r="A839" s="57"/>
      <c r="B839" s="51"/>
      <c r="C839" s="51"/>
      <c r="D839" s="51"/>
      <c r="E839" s="51"/>
      <c r="F839" s="51"/>
    </row>
    <row r="840" spans="1:6" s="69" customFormat="1" ht="12" customHeight="1" x14ac:dyDescent="0.3">
      <c r="A840" s="57"/>
      <c r="B840" s="51"/>
      <c r="C840" s="51"/>
      <c r="D840" s="51"/>
      <c r="E840" s="51"/>
      <c r="F840" s="51"/>
    </row>
    <row r="841" spans="1:6" s="69" customFormat="1" ht="12" customHeight="1" x14ac:dyDescent="0.3">
      <c r="A841" s="57"/>
      <c r="B841" s="51"/>
      <c r="C841" s="51"/>
      <c r="D841" s="51"/>
      <c r="E841" s="51"/>
      <c r="F841" s="51"/>
    </row>
    <row r="842" spans="1:6" s="69" customFormat="1" ht="12" customHeight="1" x14ac:dyDescent="0.3">
      <c r="A842" s="57"/>
      <c r="B842" s="51"/>
      <c r="C842" s="51"/>
      <c r="D842" s="51"/>
      <c r="E842" s="51"/>
      <c r="F842" s="51"/>
    </row>
    <row r="843" spans="1:6" s="69" customFormat="1" ht="12" customHeight="1" x14ac:dyDescent="0.3">
      <c r="A843" s="57"/>
      <c r="B843" s="51"/>
      <c r="C843" s="51"/>
      <c r="D843" s="51"/>
      <c r="E843" s="51"/>
      <c r="F843" s="51"/>
    </row>
    <row r="844" spans="1:6" s="69" customFormat="1" ht="12" customHeight="1" x14ac:dyDescent="0.3">
      <c r="A844" s="57"/>
      <c r="B844" s="51"/>
      <c r="C844" s="51"/>
      <c r="D844" s="51"/>
      <c r="E844" s="51"/>
      <c r="F844" s="51"/>
    </row>
    <row r="845" spans="1:6" s="69" customFormat="1" ht="12" customHeight="1" x14ac:dyDescent="0.3">
      <c r="A845" s="57"/>
      <c r="B845" s="51"/>
      <c r="C845" s="51"/>
      <c r="D845" s="51"/>
      <c r="E845" s="51"/>
      <c r="F845" s="51"/>
    </row>
    <row r="846" spans="1:6" s="69" customFormat="1" ht="12" customHeight="1" x14ac:dyDescent="0.3">
      <c r="A846" s="57"/>
      <c r="B846" s="51"/>
      <c r="C846" s="51"/>
      <c r="D846" s="51"/>
      <c r="E846" s="51"/>
      <c r="F846" s="51"/>
    </row>
    <row r="847" spans="1:6" s="69" customFormat="1" ht="12" customHeight="1" x14ac:dyDescent="0.3">
      <c r="A847" s="57"/>
      <c r="B847" s="51"/>
      <c r="C847" s="51"/>
      <c r="D847" s="51"/>
      <c r="E847" s="51"/>
      <c r="F847" s="51"/>
    </row>
    <row r="848" spans="1:6" s="69" customFormat="1" ht="12" customHeight="1" x14ac:dyDescent="0.3">
      <c r="A848" s="57"/>
      <c r="B848" s="51"/>
      <c r="C848" s="51"/>
      <c r="D848" s="51"/>
      <c r="E848" s="51"/>
      <c r="F848" s="51"/>
    </row>
    <row r="849" spans="1:6" s="69" customFormat="1" ht="12" customHeight="1" x14ac:dyDescent="0.3">
      <c r="A849" s="57"/>
      <c r="B849" s="51"/>
      <c r="C849" s="51"/>
      <c r="D849" s="51"/>
      <c r="E849" s="51"/>
      <c r="F849" s="51"/>
    </row>
    <row r="850" spans="1:6" s="69" customFormat="1" ht="12" customHeight="1" x14ac:dyDescent="0.3">
      <c r="A850" s="57"/>
      <c r="B850" s="51"/>
      <c r="C850" s="51"/>
      <c r="D850" s="51"/>
      <c r="E850" s="51"/>
      <c r="F850" s="51"/>
    </row>
    <row r="851" spans="1:6" s="69" customFormat="1" ht="12" customHeight="1" x14ac:dyDescent="0.3">
      <c r="A851" s="57"/>
      <c r="B851" s="51"/>
      <c r="C851" s="51"/>
      <c r="D851" s="51"/>
      <c r="E851" s="51"/>
      <c r="F851" s="51"/>
    </row>
    <row r="852" spans="1:6" s="69" customFormat="1" ht="12" customHeight="1" x14ac:dyDescent="0.3">
      <c r="A852" s="57"/>
      <c r="B852" s="51"/>
      <c r="C852" s="51"/>
      <c r="D852" s="51"/>
      <c r="E852" s="51"/>
      <c r="F852" s="51"/>
    </row>
    <row r="853" spans="1:6" s="69" customFormat="1" ht="12" customHeight="1" x14ac:dyDescent="0.3">
      <c r="A853" s="57"/>
      <c r="B853" s="51"/>
      <c r="C853" s="51"/>
      <c r="D853" s="51"/>
      <c r="E853" s="51"/>
      <c r="F853" s="51"/>
    </row>
    <row r="854" spans="1:6" s="69" customFormat="1" ht="12" customHeight="1" x14ac:dyDescent="0.3">
      <c r="A854" s="57"/>
      <c r="B854" s="51"/>
      <c r="C854" s="51"/>
      <c r="D854" s="51"/>
      <c r="E854" s="51"/>
      <c r="F854" s="51"/>
    </row>
    <row r="855" spans="1:6" s="69" customFormat="1" ht="12" customHeight="1" x14ac:dyDescent="0.3">
      <c r="A855" s="57"/>
      <c r="B855" s="51"/>
      <c r="C855" s="51"/>
      <c r="D855" s="51"/>
      <c r="E855" s="51"/>
      <c r="F855" s="51"/>
    </row>
    <row r="856" spans="1:6" s="69" customFormat="1" ht="12" customHeight="1" x14ac:dyDescent="0.3">
      <c r="A856" s="57"/>
      <c r="B856" s="51"/>
      <c r="C856" s="51"/>
      <c r="D856" s="51"/>
      <c r="E856" s="51"/>
      <c r="F856" s="51"/>
    </row>
    <row r="857" spans="1:6" s="69" customFormat="1" ht="12" customHeight="1" x14ac:dyDescent="0.3">
      <c r="A857" s="57"/>
      <c r="B857" s="51"/>
      <c r="C857" s="51"/>
      <c r="D857" s="51"/>
      <c r="E857" s="51"/>
      <c r="F857" s="51"/>
    </row>
    <row r="858" spans="1:6" s="69" customFormat="1" ht="12" customHeight="1" x14ac:dyDescent="0.3">
      <c r="A858" s="57"/>
      <c r="B858" s="51"/>
      <c r="C858" s="51"/>
      <c r="D858" s="51"/>
      <c r="E858" s="51"/>
      <c r="F858" s="51"/>
    </row>
    <row r="859" spans="1:6" s="69" customFormat="1" ht="12" customHeight="1" x14ac:dyDescent="0.3">
      <c r="A859" s="57"/>
      <c r="B859" s="51"/>
      <c r="C859" s="51"/>
      <c r="D859" s="51"/>
      <c r="E859" s="51"/>
      <c r="F859" s="51"/>
    </row>
    <row r="860" spans="1:6" s="69" customFormat="1" ht="12" customHeight="1" x14ac:dyDescent="0.3">
      <c r="A860" s="57"/>
      <c r="B860" s="51"/>
      <c r="C860" s="51"/>
      <c r="D860" s="51"/>
      <c r="E860" s="51"/>
      <c r="F860" s="51"/>
    </row>
    <row r="861" spans="1:6" s="69" customFormat="1" ht="12" customHeight="1" x14ac:dyDescent="0.3">
      <c r="A861" s="57"/>
      <c r="B861" s="51"/>
      <c r="C861" s="51"/>
      <c r="D861" s="51"/>
      <c r="E861" s="51"/>
      <c r="F861" s="51"/>
    </row>
    <row r="862" spans="1:6" s="69" customFormat="1" ht="12" customHeight="1" x14ac:dyDescent="0.3">
      <c r="A862" s="57"/>
      <c r="B862" s="51"/>
      <c r="C862" s="51"/>
      <c r="D862" s="51"/>
      <c r="E862" s="51"/>
      <c r="F862" s="51"/>
    </row>
    <row r="863" spans="1:6" s="69" customFormat="1" ht="12" customHeight="1" x14ac:dyDescent="0.3">
      <c r="A863" s="57"/>
      <c r="B863" s="51"/>
      <c r="C863" s="51"/>
      <c r="D863" s="51"/>
      <c r="E863" s="51"/>
      <c r="F863" s="51"/>
    </row>
    <row r="864" spans="1:6" s="69" customFormat="1" ht="12" customHeight="1" x14ac:dyDescent="0.3">
      <c r="A864" s="57"/>
      <c r="B864" s="51"/>
      <c r="C864" s="51"/>
      <c r="D864" s="51"/>
      <c r="E864" s="51"/>
      <c r="F864" s="51"/>
    </row>
    <row r="865" spans="1:6" s="69" customFormat="1" ht="12" customHeight="1" x14ac:dyDescent="0.3">
      <c r="A865" s="57"/>
      <c r="B865" s="51"/>
      <c r="C865" s="51"/>
      <c r="D865" s="51"/>
      <c r="E865" s="51"/>
      <c r="F865" s="51"/>
    </row>
    <row r="866" spans="1:6" s="69" customFormat="1" ht="12" customHeight="1" x14ac:dyDescent="0.3">
      <c r="A866" s="57"/>
      <c r="B866" s="51"/>
      <c r="C866" s="51"/>
      <c r="D866" s="51"/>
      <c r="E866" s="51"/>
      <c r="F866" s="51"/>
    </row>
    <row r="867" spans="1:6" s="69" customFormat="1" ht="12" customHeight="1" x14ac:dyDescent="0.3">
      <c r="A867" s="57"/>
      <c r="B867" s="51"/>
      <c r="C867" s="51"/>
      <c r="D867" s="51"/>
      <c r="E867" s="51"/>
      <c r="F867" s="51"/>
    </row>
    <row r="868" spans="1:6" s="69" customFormat="1" ht="12" customHeight="1" x14ac:dyDescent="0.3">
      <c r="A868" s="57"/>
      <c r="B868" s="51"/>
      <c r="C868" s="51"/>
      <c r="D868" s="51"/>
      <c r="E868" s="51"/>
      <c r="F868" s="51"/>
    </row>
    <row r="869" spans="1:6" s="69" customFormat="1" ht="12" customHeight="1" x14ac:dyDescent="0.3">
      <c r="A869" s="57"/>
      <c r="B869" s="51"/>
      <c r="C869" s="51"/>
      <c r="D869" s="51"/>
      <c r="E869" s="51"/>
      <c r="F869" s="51"/>
    </row>
    <row r="870" spans="1:6" s="69" customFormat="1" ht="12" customHeight="1" x14ac:dyDescent="0.3">
      <c r="A870" s="57"/>
      <c r="B870" s="51"/>
      <c r="C870" s="51"/>
      <c r="D870" s="51"/>
      <c r="E870" s="51"/>
      <c r="F870" s="51"/>
    </row>
    <row r="871" spans="1:6" s="69" customFormat="1" ht="12" customHeight="1" x14ac:dyDescent="0.3">
      <c r="A871" s="57"/>
      <c r="B871" s="51"/>
      <c r="C871" s="51"/>
      <c r="D871" s="51"/>
      <c r="E871" s="51"/>
      <c r="F871" s="51"/>
    </row>
    <row r="872" spans="1:6" s="69" customFormat="1" ht="12" customHeight="1" x14ac:dyDescent="0.3">
      <c r="A872" s="57"/>
      <c r="B872" s="51"/>
      <c r="C872" s="51"/>
      <c r="D872" s="51"/>
      <c r="E872" s="51"/>
      <c r="F872" s="51"/>
    </row>
    <row r="873" spans="1:6" s="69" customFormat="1" ht="12" customHeight="1" x14ac:dyDescent="0.3">
      <c r="A873" s="57"/>
      <c r="B873" s="51"/>
      <c r="C873" s="51"/>
      <c r="D873" s="51"/>
      <c r="E873" s="51"/>
      <c r="F873" s="51"/>
    </row>
    <row r="874" spans="1:6" s="69" customFormat="1" ht="12" customHeight="1" x14ac:dyDescent="0.3">
      <c r="A874" s="57"/>
      <c r="B874" s="51"/>
      <c r="C874" s="51"/>
      <c r="D874" s="51"/>
      <c r="E874" s="51"/>
      <c r="F874" s="51"/>
    </row>
    <row r="875" spans="1:6" s="69" customFormat="1" ht="12" customHeight="1" x14ac:dyDescent="0.3">
      <c r="A875" s="57"/>
      <c r="B875" s="51"/>
      <c r="C875" s="51"/>
      <c r="D875" s="51"/>
      <c r="E875" s="51"/>
      <c r="F875" s="51"/>
    </row>
    <row r="876" spans="1:6" s="69" customFormat="1" ht="12" customHeight="1" x14ac:dyDescent="0.3">
      <c r="A876" s="57"/>
      <c r="B876" s="51"/>
      <c r="C876" s="51"/>
      <c r="D876" s="51"/>
      <c r="E876" s="51"/>
      <c r="F876" s="51"/>
    </row>
    <row r="877" spans="1:6" s="69" customFormat="1" ht="12" customHeight="1" x14ac:dyDescent="0.3">
      <c r="A877" s="57"/>
      <c r="B877" s="51"/>
      <c r="C877" s="51"/>
      <c r="D877" s="51"/>
      <c r="E877" s="51"/>
      <c r="F877" s="51"/>
    </row>
    <row r="878" spans="1:6" s="69" customFormat="1" ht="12" customHeight="1" x14ac:dyDescent="0.3">
      <c r="A878" s="57"/>
      <c r="B878" s="51"/>
      <c r="C878" s="51"/>
      <c r="D878" s="51"/>
      <c r="E878" s="51"/>
      <c r="F878" s="51"/>
    </row>
    <row r="879" spans="1:6" s="69" customFormat="1" ht="12" customHeight="1" x14ac:dyDescent="0.3">
      <c r="A879" s="57"/>
      <c r="B879" s="51"/>
      <c r="C879" s="51"/>
      <c r="D879" s="51"/>
      <c r="E879" s="51"/>
      <c r="F879" s="51"/>
    </row>
    <row r="880" spans="1:6" s="69" customFormat="1" ht="12" customHeight="1" x14ac:dyDescent="0.3">
      <c r="A880" s="57"/>
      <c r="B880" s="51"/>
      <c r="C880" s="51"/>
      <c r="D880" s="51"/>
      <c r="E880" s="51"/>
      <c r="F880" s="51"/>
    </row>
    <row r="881" spans="1:6" s="69" customFormat="1" ht="12" customHeight="1" x14ac:dyDescent="0.3">
      <c r="A881" s="57"/>
      <c r="B881" s="51"/>
      <c r="C881" s="51"/>
      <c r="D881" s="51"/>
      <c r="E881" s="51"/>
      <c r="F881" s="51"/>
    </row>
    <row r="882" spans="1:6" s="69" customFormat="1" ht="12" customHeight="1" x14ac:dyDescent="0.3">
      <c r="A882" s="57"/>
      <c r="B882" s="51"/>
      <c r="C882" s="51"/>
      <c r="D882" s="51"/>
      <c r="E882" s="51"/>
      <c r="F882" s="51"/>
    </row>
    <row r="883" spans="1:6" s="69" customFormat="1" ht="12" customHeight="1" x14ac:dyDescent="0.3">
      <c r="A883" s="57"/>
      <c r="B883" s="51"/>
      <c r="C883" s="51"/>
      <c r="D883" s="51"/>
      <c r="E883" s="51"/>
      <c r="F883" s="51"/>
    </row>
    <row r="884" spans="1:6" s="69" customFormat="1" ht="12" customHeight="1" x14ac:dyDescent="0.3">
      <c r="A884" s="57"/>
      <c r="B884" s="51"/>
      <c r="C884" s="51"/>
      <c r="D884" s="51"/>
      <c r="E884" s="51"/>
      <c r="F884" s="51"/>
    </row>
    <row r="885" spans="1:6" s="69" customFormat="1" ht="12" customHeight="1" x14ac:dyDescent="0.3">
      <c r="A885" s="57"/>
      <c r="B885" s="51"/>
      <c r="C885" s="51"/>
      <c r="D885" s="51"/>
      <c r="E885" s="51"/>
      <c r="F885" s="51"/>
    </row>
    <row r="886" spans="1:6" s="69" customFormat="1" ht="12" customHeight="1" x14ac:dyDescent="0.3">
      <c r="A886" s="57"/>
      <c r="B886" s="51"/>
      <c r="C886" s="51"/>
      <c r="D886" s="51"/>
      <c r="E886" s="51"/>
      <c r="F886" s="51"/>
    </row>
    <row r="887" spans="1:6" s="69" customFormat="1" ht="12" customHeight="1" x14ac:dyDescent="0.3">
      <c r="A887" s="57"/>
      <c r="B887" s="51"/>
      <c r="C887" s="51"/>
      <c r="D887" s="51"/>
      <c r="E887" s="51"/>
      <c r="F887" s="51"/>
    </row>
    <row r="888" spans="1:6" s="69" customFormat="1" ht="12" customHeight="1" x14ac:dyDescent="0.3">
      <c r="A888" s="57"/>
      <c r="B888" s="51"/>
      <c r="C888" s="51"/>
      <c r="D888" s="51"/>
      <c r="E888" s="51"/>
      <c r="F888" s="51"/>
    </row>
    <row r="889" spans="1:6" s="69" customFormat="1" ht="12" customHeight="1" x14ac:dyDescent="0.3">
      <c r="A889" s="57"/>
      <c r="B889" s="51"/>
      <c r="C889" s="51"/>
      <c r="D889" s="51"/>
      <c r="E889" s="51"/>
      <c r="F889" s="51"/>
    </row>
    <row r="890" spans="1:6" s="69" customFormat="1" ht="12" customHeight="1" x14ac:dyDescent="0.3">
      <c r="A890" s="57"/>
      <c r="B890" s="51"/>
      <c r="C890" s="51"/>
      <c r="D890" s="51"/>
      <c r="E890" s="51"/>
      <c r="F890" s="51"/>
    </row>
    <row r="891" spans="1:6" s="69" customFormat="1" ht="12" customHeight="1" x14ac:dyDescent="0.3">
      <c r="A891" s="57"/>
      <c r="B891" s="51"/>
      <c r="C891" s="51"/>
      <c r="D891" s="51"/>
      <c r="E891" s="51"/>
      <c r="F891" s="51"/>
    </row>
    <row r="892" spans="1:6" s="69" customFormat="1" ht="12" customHeight="1" x14ac:dyDescent="0.3">
      <c r="A892" s="57"/>
      <c r="B892" s="51"/>
      <c r="C892" s="51"/>
      <c r="D892" s="51"/>
      <c r="E892" s="51"/>
      <c r="F892" s="51"/>
    </row>
    <row r="893" spans="1:6" s="69" customFormat="1" ht="12" customHeight="1" x14ac:dyDescent="0.3">
      <c r="A893" s="57"/>
      <c r="B893" s="51"/>
      <c r="C893" s="51"/>
      <c r="D893" s="51"/>
      <c r="E893" s="51"/>
      <c r="F893" s="51"/>
    </row>
    <row r="894" spans="1:6" s="69" customFormat="1" ht="12" customHeight="1" x14ac:dyDescent="0.3">
      <c r="A894" s="57"/>
      <c r="B894" s="51"/>
      <c r="C894" s="51"/>
      <c r="D894" s="51"/>
      <c r="E894" s="51"/>
      <c r="F894" s="51"/>
    </row>
    <row r="895" spans="1:6" s="69" customFormat="1" ht="12" customHeight="1" x14ac:dyDescent="0.3">
      <c r="A895" s="57"/>
      <c r="B895" s="51"/>
      <c r="C895" s="51"/>
      <c r="D895" s="51"/>
      <c r="E895" s="51"/>
      <c r="F895" s="51"/>
    </row>
    <row r="896" spans="1:6" s="69" customFormat="1" ht="12" customHeight="1" x14ac:dyDescent="0.3">
      <c r="A896" s="57"/>
      <c r="B896" s="51"/>
      <c r="C896" s="51"/>
      <c r="D896" s="51"/>
      <c r="E896" s="51"/>
      <c r="F896" s="51"/>
    </row>
    <row r="897" spans="1:6" s="69" customFormat="1" ht="12" customHeight="1" x14ac:dyDescent="0.3">
      <c r="A897" s="57"/>
      <c r="B897" s="51"/>
      <c r="C897" s="51"/>
      <c r="D897" s="51"/>
      <c r="E897" s="51"/>
      <c r="F897" s="51"/>
    </row>
    <row r="898" spans="1:6" s="69" customFormat="1" ht="12" customHeight="1" x14ac:dyDescent="0.3">
      <c r="A898" s="57"/>
      <c r="B898" s="51"/>
      <c r="C898" s="51"/>
      <c r="D898" s="51"/>
      <c r="E898" s="51"/>
      <c r="F898" s="51"/>
    </row>
    <row r="899" spans="1:6" s="69" customFormat="1" ht="12" customHeight="1" x14ac:dyDescent="0.3">
      <c r="A899" s="57"/>
      <c r="B899" s="51"/>
      <c r="C899" s="51"/>
      <c r="D899" s="51"/>
      <c r="E899" s="51"/>
      <c r="F899" s="51"/>
    </row>
    <row r="900" spans="1:6" s="69" customFormat="1" ht="12" customHeight="1" x14ac:dyDescent="0.3">
      <c r="A900" s="57"/>
      <c r="B900" s="51"/>
      <c r="C900" s="51"/>
      <c r="D900" s="51"/>
      <c r="E900" s="51"/>
      <c r="F900" s="51"/>
    </row>
    <row r="901" spans="1:6" s="69" customFormat="1" ht="12" customHeight="1" x14ac:dyDescent="0.3">
      <c r="A901" s="57"/>
      <c r="B901" s="51"/>
      <c r="C901" s="51"/>
      <c r="D901" s="51"/>
      <c r="E901" s="51"/>
      <c r="F901" s="51"/>
    </row>
    <row r="902" spans="1:6" s="69" customFormat="1" ht="12" customHeight="1" x14ac:dyDescent="0.3">
      <c r="A902" s="57"/>
      <c r="B902" s="51"/>
      <c r="C902" s="51"/>
      <c r="D902" s="51"/>
      <c r="E902" s="51"/>
      <c r="F902" s="51"/>
    </row>
    <row r="903" spans="1:6" s="69" customFormat="1" ht="12" customHeight="1" x14ac:dyDescent="0.3">
      <c r="A903" s="57"/>
      <c r="B903" s="51"/>
      <c r="C903" s="51"/>
      <c r="D903" s="51"/>
      <c r="E903" s="51"/>
      <c r="F903" s="51"/>
    </row>
    <row r="904" spans="1:6" s="69" customFormat="1" ht="12" customHeight="1" x14ac:dyDescent="0.3">
      <c r="A904" s="57"/>
      <c r="B904" s="51"/>
      <c r="C904" s="51"/>
      <c r="D904" s="51"/>
      <c r="E904" s="51"/>
      <c r="F904" s="51"/>
    </row>
    <row r="905" spans="1:6" s="69" customFormat="1" ht="12" customHeight="1" x14ac:dyDescent="0.3">
      <c r="A905" s="57"/>
      <c r="B905" s="51"/>
      <c r="C905" s="51"/>
      <c r="D905" s="51"/>
      <c r="E905" s="51"/>
      <c r="F905" s="51"/>
    </row>
    <row r="906" spans="1:6" s="69" customFormat="1" ht="12" customHeight="1" x14ac:dyDescent="0.3">
      <c r="A906" s="57"/>
      <c r="B906" s="51"/>
      <c r="C906" s="51"/>
      <c r="D906" s="51"/>
      <c r="E906" s="51"/>
      <c r="F906" s="51"/>
    </row>
    <row r="907" spans="1:6" s="69" customFormat="1" ht="12" customHeight="1" x14ac:dyDescent="0.3">
      <c r="A907" s="57"/>
      <c r="B907" s="51"/>
      <c r="C907" s="51"/>
      <c r="D907" s="51"/>
      <c r="E907" s="51"/>
      <c r="F907" s="51"/>
    </row>
    <row r="908" spans="1:6" s="69" customFormat="1" ht="12" customHeight="1" x14ac:dyDescent="0.3">
      <c r="A908" s="57"/>
      <c r="B908" s="51"/>
      <c r="C908" s="51"/>
      <c r="D908" s="51"/>
      <c r="E908" s="51"/>
      <c r="F908" s="51"/>
    </row>
    <row r="909" spans="1:6" s="69" customFormat="1" ht="12" customHeight="1" x14ac:dyDescent="0.3">
      <c r="A909" s="57"/>
      <c r="B909" s="51"/>
      <c r="C909" s="51"/>
      <c r="D909" s="51"/>
      <c r="E909" s="51"/>
      <c r="F909" s="51"/>
    </row>
    <row r="910" spans="1:6" s="69" customFormat="1" ht="12" customHeight="1" x14ac:dyDescent="0.3">
      <c r="A910" s="57"/>
      <c r="B910" s="51"/>
      <c r="C910" s="51"/>
      <c r="D910" s="51"/>
      <c r="E910" s="51"/>
      <c r="F910" s="51"/>
    </row>
    <row r="911" spans="1:6" s="69" customFormat="1" ht="12" customHeight="1" x14ac:dyDescent="0.3">
      <c r="A911" s="57"/>
      <c r="B911" s="51"/>
      <c r="C911" s="51"/>
      <c r="D911" s="51"/>
      <c r="E911" s="51"/>
      <c r="F911" s="51"/>
    </row>
    <row r="912" spans="1:6" s="69" customFormat="1" ht="12" customHeight="1" x14ac:dyDescent="0.3">
      <c r="A912" s="57"/>
      <c r="B912" s="51"/>
      <c r="C912" s="51"/>
      <c r="D912" s="51"/>
      <c r="E912" s="51"/>
      <c r="F912" s="51"/>
    </row>
    <row r="913" spans="1:6" s="69" customFormat="1" ht="12" customHeight="1" x14ac:dyDescent="0.3">
      <c r="A913" s="57"/>
      <c r="B913" s="51"/>
      <c r="C913" s="51"/>
      <c r="D913" s="51"/>
      <c r="E913" s="51"/>
      <c r="F913" s="51"/>
    </row>
    <row r="914" spans="1:6" s="69" customFormat="1" ht="12" customHeight="1" x14ac:dyDescent="0.3">
      <c r="A914" s="57"/>
      <c r="B914" s="51"/>
      <c r="C914" s="51"/>
      <c r="D914" s="51"/>
      <c r="E914" s="51"/>
      <c r="F914" s="51"/>
    </row>
    <row r="915" spans="1:6" s="69" customFormat="1" ht="12" customHeight="1" x14ac:dyDescent="0.3">
      <c r="A915" s="57"/>
      <c r="B915" s="51"/>
      <c r="C915" s="51"/>
      <c r="D915" s="51"/>
      <c r="E915" s="51"/>
      <c r="F915" s="51"/>
    </row>
    <row r="916" spans="1:6" s="69" customFormat="1" ht="12" customHeight="1" x14ac:dyDescent="0.3">
      <c r="A916" s="57"/>
      <c r="B916" s="51"/>
      <c r="C916" s="51"/>
      <c r="D916" s="51"/>
      <c r="E916" s="51"/>
      <c r="F916" s="51"/>
    </row>
    <row r="917" spans="1:6" s="69" customFormat="1" ht="12" customHeight="1" x14ac:dyDescent="0.3">
      <c r="A917" s="57"/>
      <c r="B917" s="51"/>
      <c r="C917" s="51"/>
      <c r="D917" s="51"/>
      <c r="E917" s="51"/>
      <c r="F917" s="51"/>
    </row>
    <row r="918" spans="1:6" s="69" customFormat="1" ht="12" customHeight="1" x14ac:dyDescent="0.3">
      <c r="A918" s="57"/>
      <c r="B918" s="51"/>
      <c r="C918" s="51"/>
      <c r="D918" s="51"/>
      <c r="E918" s="51"/>
      <c r="F918" s="51"/>
    </row>
    <row r="919" spans="1:6" s="69" customFormat="1" ht="12" customHeight="1" x14ac:dyDescent="0.3">
      <c r="A919" s="57"/>
      <c r="B919" s="51"/>
      <c r="C919" s="51"/>
      <c r="D919" s="51"/>
      <c r="E919" s="51"/>
      <c r="F919" s="51"/>
    </row>
    <row r="920" spans="1:6" s="69" customFormat="1" ht="12" customHeight="1" x14ac:dyDescent="0.3">
      <c r="A920" s="57"/>
      <c r="B920" s="51"/>
      <c r="C920" s="51"/>
      <c r="D920" s="51"/>
      <c r="E920" s="51"/>
      <c r="F920" s="51"/>
    </row>
    <row r="921" spans="1:6" s="69" customFormat="1" ht="12" customHeight="1" x14ac:dyDescent="0.3">
      <c r="A921" s="57"/>
      <c r="B921" s="51"/>
      <c r="C921" s="51"/>
      <c r="D921" s="51"/>
      <c r="E921" s="51"/>
      <c r="F921" s="51"/>
    </row>
    <row r="922" spans="1:6" s="69" customFormat="1" ht="12" customHeight="1" x14ac:dyDescent="0.3">
      <c r="A922" s="57"/>
      <c r="B922" s="51"/>
      <c r="C922" s="51"/>
      <c r="D922" s="51"/>
      <c r="E922" s="51"/>
      <c r="F922" s="51"/>
    </row>
    <row r="923" spans="1:6" s="69" customFormat="1" ht="12" customHeight="1" x14ac:dyDescent="0.3">
      <c r="A923" s="57"/>
      <c r="B923" s="51"/>
      <c r="C923" s="51"/>
      <c r="D923" s="51"/>
      <c r="E923" s="51"/>
      <c r="F923" s="51"/>
    </row>
    <row r="924" spans="1:6" s="69" customFormat="1" ht="12" customHeight="1" x14ac:dyDescent="0.3">
      <c r="A924" s="57"/>
      <c r="B924" s="51"/>
      <c r="C924" s="51"/>
      <c r="D924" s="51"/>
      <c r="E924" s="51"/>
      <c r="F924" s="51"/>
    </row>
    <row r="925" spans="1:6" s="69" customFormat="1" ht="12" customHeight="1" x14ac:dyDescent="0.3">
      <c r="A925" s="57"/>
      <c r="B925" s="51"/>
      <c r="C925" s="51"/>
      <c r="D925" s="51"/>
      <c r="E925" s="51"/>
      <c r="F925" s="51"/>
    </row>
    <row r="926" spans="1:6" s="69" customFormat="1" ht="12" customHeight="1" x14ac:dyDescent="0.3">
      <c r="A926" s="57"/>
      <c r="B926" s="51"/>
      <c r="C926" s="51"/>
      <c r="D926" s="51"/>
      <c r="E926" s="51"/>
      <c r="F926" s="51"/>
    </row>
    <row r="927" spans="1:6" s="69" customFormat="1" ht="12" customHeight="1" x14ac:dyDescent="0.3">
      <c r="A927" s="57"/>
      <c r="B927" s="51"/>
      <c r="C927" s="51"/>
      <c r="D927" s="51"/>
      <c r="E927" s="51"/>
      <c r="F927" s="51"/>
    </row>
    <row r="928" spans="1:6" s="69" customFormat="1" ht="12" customHeight="1" x14ac:dyDescent="0.3">
      <c r="A928" s="57"/>
      <c r="B928" s="51"/>
      <c r="C928" s="51"/>
      <c r="D928" s="51"/>
      <c r="E928" s="51"/>
      <c r="F928" s="51"/>
    </row>
    <row r="929" spans="1:6" s="69" customFormat="1" ht="12" customHeight="1" x14ac:dyDescent="0.3">
      <c r="A929" s="57"/>
      <c r="B929" s="51"/>
      <c r="C929" s="51"/>
      <c r="D929" s="51"/>
      <c r="E929" s="51"/>
      <c r="F929" s="51"/>
    </row>
    <row r="930" spans="1:6" s="69" customFormat="1" ht="12" customHeight="1" x14ac:dyDescent="0.3">
      <c r="A930" s="57"/>
      <c r="B930" s="51"/>
      <c r="C930" s="51"/>
      <c r="D930" s="51"/>
      <c r="E930" s="51"/>
      <c r="F930" s="51"/>
    </row>
    <row r="931" spans="1:6" s="69" customFormat="1" ht="12" customHeight="1" x14ac:dyDescent="0.3">
      <c r="A931" s="57"/>
      <c r="B931" s="51"/>
      <c r="C931" s="51"/>
      <c r="D931" s="51"/>
      <c r="E931" s="51"/>
      <c r="F931" s="51"/>
    </row>
    <row r="932" spans="1:6" s="69" customFormat="1" ht="12" customHeight="1" x14ac:dyDescent="0.3">
      <c r="A932" s="57"/>
      <c r="B932" s="51"/>
      <c r="C932" s="51"/>
      <c r="D932" s="51"/>
      <c r="E932" s="51"/>
      <c r="F932" s="51"/>
    </row>
    <row r="933" spans="1:6" s="69" customFormat="1" ht="12" customHeight="1" x14ac:dyDescent="0.3">
      <c r="A933" s="57"/>
      <c r="B933" s="51"/>
      <c r="C933" s="51"/>
      <c r="D933" s="51"/>
      <c r="E933" s="51"/>
      <c r="F933" s="51"/>
    </row>
    <row r="934" spans="1:6" s="69" customFormat="1" ht="12" customHeight="1" x14ac:dyDescent="0.3">
      <c r="A934" s="57"/>
      <c r="B934" s="51"/>
      <c r="C934" s="51"/>
      <c r="D934" s="51"/>
      <c r="E934" s="51"/>
      <c r="F934" s="51"/>
    </row>
    <row r="935" spans="1:6" s="69" customFormat="1" ht="12" customHeight="1" x14ac:dyDescent="0.3">
      <c r="A935" s="57"/>
      <c r="B935" s="51"/>
      <c r="C935" s="51"/>
      <c r="D935" s="51"/>
      <c r="E935" s="51"/>
      <c r="F935" s="51"/>
    </row>
    <row r="936" spans="1:6" s="69" customFormat="1" ht="12" customHeight="1" x14ac:dyDescent="0.3">
      <c r="A936" s="57"/>
      <c r="B936" s="51"/>
      <c r="C936" s="51"/>
      <c r="D936" s="51"/>
      <c r="E936" s="51"/>
      <c r="F936" s="51"/>
    </row>
    <row r="937" spans="1:6" s="69" customFormat="1" ht="12" customHeight="1" x14ac:dyDescent="0.3">
      <c r="A937" s="57"/>
      <c r="B937" s="51"/>
      <c r="C937" s="51"/>
      <c r="D937" s="51"/>
      <c r="E937" s="51"/>
      <c r="F937" s="51"/>
    </row>
    <row r="938" spans="1:6" s="69" customFormat="1" ht="12" customHeight="1" x14ac:dyDescent="0.3">
      <c r="A938" s="57"/>
      <c r="B938" s="51"/>
      <c r="C938" s="51"/>
      <c r="D938" s="51"/>
      <c r="E938" s="51"/>
      <c r="F938" s="51"/>
    </row>
    <row r="939" spans="1:6" s="69" customFormat="1" ht="12" customHeight="1" x14ac:dyDescent="0.3">
      <c r="A939" s="57"/>
      <c r="B939" s="51"/>
      <c r="C939" s="51"/>
      <c r="D939" s="51"/>
      <c r="E939" s="51"/>
      <c r="F939" s="51"/>
    </row>
    <row r="940" spans="1:6" s="69" customFormat="1" ht="12" customHeight="1" x14ac:dyDescent="0.3">
      <c r="A940" s="57"/>
      <c r="B940" s="51"/>
      <c r="C940" s="51"/>
      <c r="D940" s="51"/>
      <c r="E940" s="51"/>
      <c r="F940" s="51"/>
    </row>
    <row r="941" spans="1:6" s="69" customFormat="1" ht="12" customHeight="1" x14ac:dyDescent="0.3">
      <c r="A941" s="57"/>
      <c r="B941" s="51"/>
      <c r="C941" s="51"/>
      <c r="D941" s="51"/>
      <c r="E941" s="51"/>
      <c r="F941" s="51"/>
    </row>
    <row r="942" spans="1:6" s="69" customFormat="1" ht="12" customHeight="1" x14ac:dyDescent="0.3">
      <c r="A942" s="57"/>
      <c r="B942" s="51"/>
      <c r="C942" s="51"/>
      <c r="D942" s="51"/>
      <c r="E942" s="51"/>
      <c r="F942" s="51"/>
    </row>
    <row r="943" spans="1:6" s="69" customFormat="1" ht="12" customHeight="1" x14ac:dyDescent="0.3">
      <c r="A943" s="57"/>
      <c r="B943" s="51"/>
      <c r="C943" s="51"/>
      <c r="D943" s="51"/>
      <c r="E943" s="51"/>
      <c r="F943" s="51"/>
    </row>
    <row r="944" spans="1:6" s="69" customFormat="1" ht="12" customHeight="1" x14ac:dyDescent="0.3">
      <c r="A944" s="57"/>
      <c r="B944" s="51"/>
      <c r="C944" s="51"/>
      <c r="D944" s="51"/>
      <c r="E944" s="51"/>
      <c r="F944" s="51"/>
    </row>
    <row r="945" spans="1:6" s="69" customFormat="1" ht="12" customHeight="1" x14ac:dyDescent="0.3">
      <c r="A945" s="57"/>
      <c r="B945" s="51"/>
      <c r="C945" s="51"/>
      <c r="D945" s="51"/>
      <c r="E945" s="51"/>
      <c r="F945" s="51"/>
    </row>
    <row r="946" spans="1:6" s="69" customFormat="1" ht="12" customHeight="1" x14ac:dyDescent="0.3">
      <c r="A946" s="57"/>
      <c r="B946" s="51"/>
      <c r="C946" s="51"/>
      <c r="D946" s="51"/>
      <c r="E946" s="51"/>
      <c r="F946" s="51"/>
    </row>
    <row r="947" spans="1:6" s="69" customFormat="1" ht="12" customHeight="1" x14ac:dyDescent="0.3">
      <c r="A947" s="57"/>
      <c r="B947" s="51"/>
      <c r="C947" s="51"/>
      <c r="D947" s="51"/>
      <c r="E947" s="51"/>
      <c r="F947" s="51"/>
    </row>
    <row r="948" spans="1:6" s="69" customFormat="1" ht="12" customHeight="1" x14ac:dyDescent="0.3">
      <c r="A948" s="57"/>
      <c r="B948" s="51"/>
      <c r="C948" s="51"/>
      <c r="D948" s="51"/>
      <c r="E948" s="51"/>
      <c r="F948" s="51"/>
    </row>
    <row r="949" spans="1:6" s="69" customFormat="1" ht="12" customHeight="1" x14ac:dyDescent="0.3">
      <c r="A949" s="57"/>
      <c r="B949" s="51"/>
      <c r="C949" s="51"/>
      <c r="D949" s="51"/>
      <c r="E949" s="51"/>
      <c r="F949" s="51"/>
    </row>
    <row r="950" spans="1:6" s="69" customFormat="1" ht="12" customHeight="1" x14ac:dyDescent="0.3">
      <c r="A950" s="57"/>
      <c r="B950" s="51"/>
      <c r="C950" s="51"/>
      <c r="D950" s="51"/>
      <c r="E950" s="51"/>
      <c r="F950" s="51"/>
    </row>
    <row r="951" spans="1:6" s="69" customFormat="1" ht="12" customHeight="1" x14ac:dyDescent="0.3">
      <c r="A951" s="57"/>
      <c r="B951" s="51"/>
      <c r="C951" s="51"/>
      <c r="D951" s="51"/>
      <c r="E951" s="51"/>
      <c r="F951" s="51"/>
    </row>
    <row r="952" spans="1:6" s="69" customFormat="1" ht="12" customHeight="1" x14ac:dyDescent="0.3">
      <c r="A952" s="57"/>
      <c r="B952" s="51"/>
      <c r="C952" s="51"/>
      <c r="D952" s="51"/>
      <c r="E952" s="51"/>
      <c r="F952" s="51"/>
    </row>
    <row r="953" spans="1:6" s="69" customFormat="1" ht="12" customHeight="1" x14ac:dyDescent="0.3">
      <c r="A953" s="57"/>
      <c r="B953" s="51"/>
      <c r="C953" s="51"/>
      <c r="D953" s="51"/>
      <c r="E953" s="51"/>
      <c r="F953" s="51"/>
    </row>
    <row r="954" spans="1:6" s="69" customFormat="1" ht="12" customHeight="1" x14ac:dyDescent="0.3">
      <c r="A954" s="57"/>
      <c r="B954" s="51"/>
      <c r="C954" s="51"/>
      <c r="D954" s="51"/>
      <c r="E954" s="51"/>
      <c r="F954" s="51"/>
    </row>
    <row r="955" spans="1:6" s="69" customFormat="1" ht="12" customHeight="1" x14ac:dyDescent="0.3">
      <c r="A955" s="57"/>
      <c r="B955" s="51"/>
      <c r="C955" s="51"/>
      <c r="D955" s="51"/>
      <c r="E955" s="51"/>
      <c r="F955" s="51"/>
    </row>
    <row r="956" spans="1:6" s="69" customFormat="1" ht="12" customHeight="1" x14ac:dyDescent="0.3">
      <c r="A956" s="57"/>
      <c r="B956" s="51"/>
      <c r="C956" s="51"/>
      <c r="D956" s="51"/>
      <c r="E956" s="51"/>
      <c r="F956" s="51"/>
    </row>
    <row r="957" spans="1:6" s="69" customFormat="1" ht="12" customHeight="1" x14ac:dyDescent="0.3">
      <c r="A957" s="57"/>
      <c r="B957" s="51"/>
      <c r="C957" s="51"/>
      <c r="D957" s="51"/>
      <c r="E957" s="51"/>
      <c r="F957" s="51"/>
    </row>
    <row r="958" spans="1:6" s="69" customFormat="1" ht="12" customHeight="1" x14ac:dyDescent="0.3">
      <c r="A958" s="57"/>
      <c r="B958" s="51"/>
      <c r="C958" s="51"/>
      <c r="D958" s="51"/>
      <c r="E958" s="51"/>
      <c r="F958" s="51"/>
    </row>
    <row r="959" spans="1:6" s="69" customFormat="1" ht="12" customHeight="1" x14ac:dyDescent="0.3">
      <c r="A959" s="57"/>
      <c r="B959" s="51"/>
      <c r="C959" s="51"/>
      <c r="D959" s="51"/>
      <c r="E959" s="51"/>
      <c r="F959" s="51"/>
    </row>
    <row r="960" spans="1:6" s="69" customFormat="1" ht="12" customHeight="1" x14ac:dyDescent="0.3">
      <c r="A960" s="57"/>
      <c r="B960" s="51"/>
      <c r="C960" s="51"/>
      <c r="D960" s="51"/>
      <c r="E960" s="51"/>
      <c r="F960" s="51"/>
    </row>
    <row r="961" spans="1:6" s="69" customFormat="1" ht="12" customHeight="1" x14ac:dyDescent="0.3">
      <c r="A961" s="57"/>
      <c r="B961" s="51"/>
      <c r="C961" s="51"/>
      <c r="D961" s="51"/>
      <c r="E961" s="51"/>
      <c r="F961" s="51"/>
    </row>
    <row r="962" spans="1:6" s="69" customFormat="1" ht="12" customHeight="1" x14ac:dyDescent="0.3">
      <c r="A962" s="57"/>
      <c r="B962" s="51"/>
      <c r="C962" s="51"/>
      <c r="D962" s="51"/>
      <c r="E962" s="51"/>
      <c r="F962" s="51"/>
    </row>
    <row r="963" spans="1:6" s="69" customFormat="1" ht="12" customHeight="1" x14ac:dyDescent="0.3">
      <c r="A963" s="57"/>
      <c r="B963" s="51"/>
      <c r="C963" s="51"/>
      <c r="D963" s="51"/>
      <c r="E963" s="51"/>
      <c r="F963" s="51"/>
    </row>
    <row r="964" spans="1:6" s="69" customFormat="1" ht="12" customHeight="1" x14ac:dyDescent="0.3">
      <c r="A964" s="57"/>
      <c r="B964" s="51"/>
      <c r="C964" s="51"/>
      <c r="D964" s="51"/>
      <c r="E964" s="51"/>
      <c r="F964" s="51"/>
    </row>
    <row r="965" spans="1:6" s="69" customFormat="1" ht="12" customHeight="1" x14ac:dyDescent="0.3">
      <c r="A965" s="57"/>
      <c r="B965" s="51"/>
      <c r="C965" s="51"/>
      <c r="D965" s="51"/>
      <c r="E965" s="51"/>
      <c r="F965" s="51"/>
    </row>
    <row r="966" spans="1:6" s="69" customFormat="1" ht="12" customHeight="1" x14ac:dyDescent="0.3">
      <c r="A966" s="57"/>
      <c r="B966" s="51"/>
      <c r="C966" s="51"/>
      <c r="D966" s="51"/>
      <c r="E966" s="51"/>
      <c r="F966" s="51"/>
    </row>
    <row r="967" spans="1:6" s="69" customFormat="1" ht="12" customHeight="1" x14ac:dyDescent="0.3">
      <c r="A967" s="57"/>
      <c r="B967" s="51"/>
      <c r="C967" s="51"/>
      <c r="D967" s="51"/>
      <c r="E967" s="51"/>
      <c r="F967" s="51"/>
    </row>
    <row r="968" spans="1:6" s="69" customFormat="1" ht="12" customHeight="1" x14ac:dyDescent="0.3">
      <c r="A968" s="57"/>
      <c r="B968" s="51"/>
      <c r="C968" s="51"/>
      <c r="D968" s="51"/>
      <c r="E968" s="51"/>
      <c r="F968" s="51"/>
    </row>
    <row r="969" spans="1:6" s="69" customFormat="1" ht="12" customHeight="1" x14ac:dyDescent="0.3">
      <c r="A969" s="57"/>
      <c r="B969" s="51"/>
      <c r="C969" s="51"/>
      <c r="D969" s="51"/>
      <c r="E969" s="51"/>
      <c r="F969" s="51"/>
    </row>
    <row r="970" spans="1:6" s="69" customFormat="1" ht="12" customHeight="1" x14ac:dyDescent="0.3">
      <c r="A970" s="57"/>
      <c r="B970" s="51"/>
      <c r="C970" s="51"/>
      <c r="D970" s="51"/>
      <c r="E970" s="51"/>
      <c r="F970" s="51"/>
    </row>
    <row r="971" spans="1:6" s="69" customFormat="1" ht="12" customHeight="1" x14ac:dyDescent="0.3">
      <c r="A971" s="57"/>
      <c r="B971" s="51"/>
      <c r="C971" s="51"/>
      <c r="D971" s="51"/>
      <c r="E971" s="51"/>
      <c r="F971" s="51"/>
    </row>
    <row r="972" spans="1:6" s="69" customFormat="1" ht="12" customHeight="1" x14ac:dyDescent="0.3">
      <c r="A972" s="57"/>
      <c r="B972" s="51"/>
      <c r="C972" s="51"/>
      <c r="D972" s="51"/>
      <c r="E972" s="51"/>
      <c r="F972" s="51"/>
    </row>
    <row r="973" spans="1:6" s="69" customFormat="1" ht="12" customHeight="1" x14ac:dyDescent="0.3">
      <c r="A973" s="57"/>
      <c r="B973" s="51"/>
      <c r="C973" s="51"/>
      <c r="D973" s="51"/>
      <c r="E973" s="51"/>
      <c r="F973" s="51"/>
    </row>
    <row r="974" spans="1:6" s="69" customFormat="1" ht="12" customHeight="1" x14ac:dyDescent="0.3">
      <c r="A974" s="57"/>
      <c r="B974" s="51"/>
      <c r="C974" s="51"/>
      <c r="D974" s="51"/>
      <c r="E974" s="51"/>
      <c r="F974" s="51"/>
    </row>
    <row r="975" spans="1:6" s="69" customFormat="1" ht="12" customHeight="1" x14ac:dyDescent="0.3">
      <c r="A975" s="57"/>
      <c r="B975" s="51"/>
      <c r="C975" s="51"/>
      <c r="D975" s="51"/>
      <c r="E975" s="51"/>
      <c r="F975" s="51"/>
    </row>
    <row r="976" spans="1:6" s="69" customFormat="1" ht="12" customHeight="1" x14ac:dyDescent="0.3">
      <c r="A976" s="57"/>
      <c r="B976" s="51"/>
      <c r="C976" s="51"/>
      <c r="D976" s="51"/>
      <c r="E976" s="51"/>
      <c r="F976" s="51"/>
    </row>
    <row r="977" spans="1:6" s="69" customFormat="1" ht="12" customHeight="1" x14ac:dyDescent="0.3">
      <c r="A977" s="57"/>
      <c r="B977" s="51"/>
      <c r="C977" s="51"/>
      <c r="D977" s="51"/>
      <c r="E977" s="51"/>
      <c r="F977" s="51"/>
    </row>
    <row r="978" spans="1:6" s="69" customFormat="1" ht="12" customHeight="1" x14ac:dyDescent="0.3">
      <c r="A978" s="57"/>
      <c r="B978" s="51"/>
      <c r="C978" s="51"/>
      <c r="D978" s="51"/>
      <c r="E978" s="51"/>
      <c r="F978" s="51"/>
    </row>
    <row r="979" spans="1:6" s="69" customFormat="1" ht="12" customHeight="1" x14ac:dyDescent="0.3">
      <c r="A979" s="57"/>
      <c r="B979" s="51"/>
      <c r="C979" s="51"/>
      <c r="D979" s="51"/>
      <c r="E979" s="51"/>
      <c r="F979" s="51"/>
    </row>
    <row r="980" spans="1:6" s="69" customFormat="1" ht="12" customHeight="1" x14ac:dyDescent="0.3">
      <c r="A980" s="57"/>
      <c r="B980" s="51"/>
      <c r="C980" s="51"/>
      <c r="D980" s="51"/>
      <c r="E980" s="51"/>
      <c r="F980" s="51"/>
    </row>
    <row r="981" spans="1:6" s="69" customFormat="1" ht="12" customHeight="1" x14ac:dyDescent="0.3">
      <c r="A981" s="57"/>
      <c r="B981" s="51"/>
      <c r="C981" s="51"/>
      <c r="D981" s="51"/>
      <c r="E981" s="51"/>
      <c r="F981" s="51"/>
    </row>
    <row r="982" spans="1:6" s="69" customFormat="1" ht="12" customHeight="1" x14ac:dyDescent="0.3">
      <c r="A982" s="57"/>
      <c r="B982" s="51"/>
      <c r="C982" s="51"/>
      <c r="D982" s="51"/>
      <c r="E982" s="51"/>
      <c r="F982" s="51"/>
    </row>
    <row r="983" spans="1:6" s="69" customFormat="1" ht="12" customHeight="1" x14ac:dyDescent="0.3">
      <c r="A983" s="57"/>
      <c r="B983" s="51"/>
      <c r="C983" s="51"/>
      <c r="D983" s="51"/>
      <c r="E983" s="51"/>
      <c r="F983" s="51"/>
    </row>
    <row r="984" spans="1:6" s="69" customFormat="1" ht="12" customHeight="1" x14ac:dyDescent="0.3">
      <c r="A984" s="57"/>
      <c r="B984" s="51"/>
      <c r="C984" s="51"/>
      <c r="D984" s="51"/>
      <c r="E984" s="51"/>
      <c r="F984" s="51"/>
    </row>
    <row r="985" spans="1:6" s="69" customFormat="1" ht="12" customHeight="1" x14ac:dyDescent="0.3">
      <c r="A985" s="57"/>
      <c r="B985" s="51"/>
      <c r="C985" s="51"/>
      <c r="D985" s="51"/>
      <c r="E985" s="51"/>
      <c r="F985" s="51"/>
    </row>
    <row r="986" spans="1:6" s="69" customFormat="1" ht="12" customHeight="1" x14ac:dyDescent="0.3">
      <c r="A986" s="57"/>
      <c r="B986" s="51"/>
      <c r="C986" s="51"/>
      <c r="D986" s="51"/>
      <c r="E986" s="51"/>
      <c r="F986" s="51"/>
    </row>
    <row r="987" spans="1:6" s="69" customFormat="1" ht="12" customHeight="1" x14ac:dyDescent="0.3">
      <c r="A987" s="57"/>
      <c r="B987" s="51"/>
      <c r="C987" s="51"/>
      <c r="D987" s="51"/>
      <c r="E987" s="51"/>
      <c r="F987" s="51"/>
    </row>
    <row r="988" spans="1:6" s="69" customFormat="1" ht="12" customHeight="1" x14ac:dyDescent="0.3">
      <c r="A988" s="57"/>
      <c r="B988" s="51"/>
      <c r="C988" s="51"/>
      <c r="D988" s="51"/>
      <c r="E988" s="51"/>
      <c r="F988" s="51"/>
    </row>
    <row r="989" spans="1:6" s="69" customFormat="1" ht="12" customHeight="1" x14ac:dyDescent="0.3">
      <c r="A989" s="57"/>
      <c r="B989" s="51"/>
      <c r="C989" s="51"/>
      <c r="D989" s="51"/>
      <c r="E989" s="51"/>
      <c r="F989" s="51"/>
    </row>
    <row r="990" spans="1:6" s="69" customFormat="1" ht="12" customHeight="1" x14ac:dyDescent="0.3">
      <c r="A990" s="57"/>
      <c r="B990" s="51"/>
      <c r="C990" s="51"/>
      <c r="D990" s="51"/>
      <c r="E990" s="51"/>
      <c r="F990" s="51"/>
    </row>
    <row r="991" spans="1:6" s="69" customFormat="1" ht="12" customHeight="1" x14ac:dyDescent="0.3">
      <c r="A991" s="57"/>
      <c r="B991" s="51"/>
      <c r="C991" s="51"/>
      <c r="D991" s="51"/>
      <c r="E991" s="51"/>
      <c r="F991" s="51"/>
    </row>
    <row r="992" spans="1:6" s="69" customFormat="1" ht="12" customHeight="1" x14ac:dyDescent="0.3">
      <c r="A992" s="57"/>
      <c r="B992" s="51"/>
      <c r="C992" s="51"/>
      <c r="D992" s="51"/>
      <c r="E992" s="51"/>
      <c r="F992" s="51"/>
    </row>
    <row r="993" spans="1:6" s="69" customFormat="1" ht="12" customHeight="1" x14ac:dyDescent="0.3">
      <c r="A993" s="57"/>
      <c r="B993" s="51"/>
      <c r="C993" s="51"/>
      <c r="D993" s="51"/>
      <c r="E993" s="51"/>
      <c r="F993" s="51"/>
    </row>
    <row r="994" spans="1:6" s="69" customFormat="1" ht="12" customHeight="1" x14ac:dyDescent="0.3">
      <c r="A994" s="57"/>
      <c r="B994" s="51"/>
      <c r="C994" s="51"/>
      <c r="D994" s="51"/>
      <c r="E994" s="51"/>
      <c r="F994" s="51"/>
    </row>
    <row r="995" spans="1:6" s="69" customFormat="1" ht="12" customHeight="1" x14ac:dyDescent="0.3">
      <c r="A995" s="57"/>
      <c r="B995" s="51"/>
      <c r="C995" s="51"/>
      <c r="D995" s="51"/>
      <c r="E995" s="51"/>
      <c r="F995" s="51"/>
    </row>
    <row r="996" spans="1:6" s="69" customFormat="1" ht="12" customHeight="1" x14ac:dyDescent="0.3">
      <c r="A996" s="57"/>
      <c r="B996" s="51"/>
      <c r="C996" s="51"/>
      <c r="D996" s="51"/>
      <c r="E996" s="51"/>
      <c r="F996" s="51"/>
    </row>
    <row r="997" spans="1:6" s="69" customFormat="1" ht="12" customHeight="1" x14ac:dyDescent="0.3">
      <c r="A997" s="57"/>
      <c r="B997" s="51"/>
      <c r="C997" s="51"/>
      <c r="D997" s="51"/>
      <c r="E997" s="51"/>
      <c r="F997" s="51"/>
    </row>
    <row r="998" spans="1:6" s="69" customFormat="1" ht="12" customHeight="1" x14ac:dyDescent="0.3">
      <c r="A998" s="57"/>
      <c r="B998" s="51"/>
      <c r="C998" s="51"/>
      <c r="D998" s="51"/>
      <c r="E998" s="51"/>
      <c r="F998" s="51"/>
    </row>
    <row r="999" spans="1:6" s="69" customFormat="1" ht="12" customHeight="1" x14ac:dyDescent="0.3">
      <c r="A999" s="57"/>
      <c r="B999" s="51"/>
      <c r="C999" s="51"/>
      <c r="D999" s="51"/>
      <c r="E999" s="51"/>
      <c r="F999" s="51"/>
    </row>
    <row r="1000" spans="1:6" s="69" customFormat="1" ht="12" customHeight="1" x14ac:dyDescent="0.3">
      <c r="A1000" s="57"/>
      <c r="B1000" s="51"/>
      <c r="C1000" s="51"/>
      <c r="D1000" s="51"/>
      <c r="E1000" s="51"/>
      <c r="F1000" s="51"/>
    </row>
    <row r="1001" spans="1:6" s="69" customFormat="1" ht="12" customHeight="1" x14ac:dyDescent="0.3">
      <c r="A1001" s="57"/>
      <c r="B1001" s="51"/>
      <c r="C1001" s="51"/>
      <c r="D1001" s="51"/>
      <c r="E1001" s="51"/>
      <c r="F1001" s="51"/>
    </row>
    <row r="1002" spans="1:6" s="69" customFormat="1" ht="12" customHeight="1" x14ac:dyDescent="0.3">
      <c r="A1002" s="57"/>
      <c r="B1002" s="51"/>
      <c r="C1002" s="51"/>
      <c r="D1002" s="51"/>
      <c r="E1002" s="51"/>
      <c r="F1002" s="51"/>
    </row>
    <row r="1003" spans="1:6" s="69" customFormat="1" ht="12" customHeight="1" x14ac:dyDescent="0.3">
      <c r="A1003" s="57"/>
      <c r="B1003" s="51"/>
      <c r="C1003" s="51"/>
      <c r="D1003" s="51"/>
      <c r="E1003" s="51"/>
      <c r="F1003" s="51"/>
    </row>
    <row r="1004" spans="1:6" s="69" customFormat="1" ht="12" customHeight="1" x14ac:dyDescent="0.3">
      <c r="A1004" s="57"/>
      <c r="B1004" s="51"/>
      <c r="C1004" s="51"/>
      <c r="D1004" s="51"/>
      <c r="E1004" s="51"/>
      <c r="F1004" s="51"/>
    </row>
    <row r="1005" spans="1:6" s="69" customFormat="1" ht="12" customHeight="1" x14ac:dyDescent="0.3">
      <c r="A1005" s="57"/>
      <c r="B1005" s="51"/>
      <c r="C1005" s="51"/>
      <c r="D1005" s="51"/>
      <c r="E1005" s="51"/>
      <c r="F1005" s="51"/>
    </row>
    <row r="1006" spans="1:6" s="69" customFormat="1" ht="12" customHeight="1" x14ac:dyDescent="0.3">
      <c r="A1006" s="57"/>
      <c r="B1006" s="51"/>
      <c r="C1006" s="51"/>
      <c r="D1006" s="51"/>
      <c r="E1006" s="51"/>
      <c r="F1006" s="51"/>
    </row>
    <row r="1007" spans="1:6" s="69" customFormat="1" ht="12" customHeight="1" x14ac:dyDescent="0.3">
      <c r="A1007" s="57"/>
      <c r="B1007" s="51"/>
      <c r="C1007" s="51"/>
      <c r="D1007" s="51"/>
      <c r="E1007" s="51"/>
      <c r="F1007" s="51"/>
    </row>
    <row r="1008" spans="1:6" s="69" customFormat="1" ht="12" customHeight="1" x14ac:dyDescent="0.3">
      <c r="A1008" s="57"/>
      <c r="B1008" s="51"/>
      <c r="C1008" s="51"/>
      <c r="D1008" s="51"/>
      <c r="E1008" s="51"/>
      <c r="F1008" s="51"/>
    </row>
    <row r="1009" spans="1:6" s="69" customFormat="1" ht="12" customHeight="1" x14ac:dyDescent="0.3">
      <c r="A1009" s="57"/>
      <c r="B1009" s="51"/>
      <c r="C1009" s="51"/>
      <c r="D1009" s="51"/>
      <c r="E1009" s="51"/>
      <c r="F1009" s="51"/>
    </row>
    <row r="1010" spans="1:6" s="69" customFormat="1" ht="12" customHeight="1" x14ac:dyDescent="0.3">
      <c r="A1010" s="57"/>
      <c r="B1010" s="51"/>
      <c r="C1010" s="51"/>
      <c r="D1010" s="51"/>
      <c r="E1010" s="51"/>
      <c r="F1010" s="51"/>
    </row>
    <row r="1011" spans="1:6" s="69" customFormat="1" ht="12" customHeight="1" x14ac:dyDescent="0.3">
      <c r="A1011" s="57"/>
      <c r="B1011" s="51"/>
      <c r="C1011" s="51"/>
      <c r="D1011" s="51"/>
      <c r="E1011" s="51"/>
      <c r="F1011" s="51"/>
    </row>
    <row r="1012" spans="1:6" s="69" customFormat="1" ht="12" customHeight="1" x14ac:dyDescent="0.3">
      <c r="A1012" s="57"/>
      <c r="B1012" s="51"/>
      <c r="C1012" s="51"/>
      <c r="D1012" s="51"/>
      <c r="E1012" s="51"/>
      <c r="F1012" s="51"/>
    </row>
    <row r="1013" spans="1:6" s="69" customFormat="1" ht="12" customHeight="1" x14ac:dyDescent="0.3">
      <c r="A1013" s="57"/>
      <c r="B1013" s="51"/>
      <c r="C1013" s="51"/>
      <c r="D1013" s="51"/>
      <c r="E1013" s="51"/>
      <c r="F1013" s="51"/>
    </row>
    <row r="1014" spans="1:6" s="69" customFormat="1" ht="12" customHeight="1" x14ac:dyDescent="0.3">
      <c r="A1014" s="57"/>
      <c r="B1014" s="51"/>
      <c r="C1014" s="51"/>
      <c r="D1014" s="51"/>
      <c r="E1014" s="51"/>
      <c r="F1014" s="51"/>
    </row>
    <row r="1015" spans="1:6" s="69" customFormat="1" ht="12" customHeight="1" x14ac:dyDescent="0.3">
      <c r="A1015" s="57"/>
      <c r="B1015" s="51"/>
      <c r="C1015" s="51"/>
      <c r="D1015" s="51"/>
      <c r="E1015" s="51"/>
      <c r="F1015" s="51"/>
    </row>
    <row r="1016" spans="1:6" s="69" customFormat="1" ht="12" customHeight="1" x14ac:dyDescent="0.3">
      <c r="A1016" s="57"/>
      <c r="B1016" s="51"/>
      <c r="C1016" s="51"/>
      <c r="D1016" s="51"/>
      <c r="E1016" s="51"/>
      <c r="F1016" s="51"/>
    </row>
    <row r="1017" spans="1:6" s="69" customFormat="1" ht="12" customHeight="1" x14ac:dyDescent="0.3">
      <c r="A1017" s="57"/>
      <c r="B1017" s="51"/>
      <c r="C1017" s="51"/>
      <c r="D1017" s="51"/>
      <c r="E1017" s="51"/>
      <c r="F1017" s="51"/>
    </row>
    <row r="1018" spans="1:6" s="69" customFormat="1" ht="12" customHeight="1" x14ac:dyDescent="0.3">
      <c r="A1018" s="57"/>
      <c r="B1018" s="51"/>
      <c r="C1018" s="51"/>
      <c r="D1018" s="51"/>
      <c r="E1018" s="51"/>
      <c r="F1018" s="51"/>
    </row>
    <row r="1019" spans="1:6" s="69" customFormat="1" ht="12" customHeight="1" x14ac:dyDescent="0.3">
      <c r="A1019" s="57"/>
      <c r="B1019" s="51"/>
      <c r="C1019" s="51"/>
      <c r="D1019" s="51"/>
      <c r="E1019" s="51"/>
      <c r="F1019" s="51"/>
    </row>
    <row r="1020" spans="1:6" s="69" customFormat="1" ht="12" customHeight="1" x14ac:dyDescent="0.3">
      <c r="A1020" s="57"/>
      <c r="B1020" s="51"/>
      <c r="C1020" s="51"/>
      <c r="D1020" s="51"/>
      <c r="E1020" s="51"/>
      <c r="F1020" s="51"/>
    </row>
    <row r="1021" spans="1:6" s="69" customFormat="1" ht="12" customHeight="1" x14ac:dyDescent="0.3">
      <c r="A1021" s="57"/>
      <c r="B1021" s="51"/>
      <c r="C1021" s="51"/>
      <c r="D1021" s="51"/>
      <c r="E1021" s="51"/>
      <c r="F1021" s="51"/>
    </row>
    <row r="1022" spans="1:6" s="69" customFormat="1" ht="12" customHeight="1" x14ac:dyDescent="0.3">
      <c r="A1022" s="57"/>
      <c r="B1022" s="51"/>
      <c r="C1022" s="51"/>
      <c r="D1022" s="51"/>
      <c r="E1022" s="51"/>
      <c r="F1022" s="51"/>
    </row>
    <row r="1023" spans="1:6" s="69" customFormat="1" ht="12" customHeight="1" x14ac:dyDescent="0.3">
      <c r="A1023" s="57"/>
      <c r="B1023" s="51"/>
      <c r="C1023" s="51"/>
      <c r="D1023" s="51"/>
      <c r="E1023" s="51"/>
      <c r="F1023" s="51"/>
    </row>
    <row r="1024" spans="1:6" s="69" customFormat="1" ht="12" customHeight="1" x14ac:dyDescent="0.3">
      <c r="A1024" s="57"/>
      <c r="B1024" s="51"/>
      <c r="C1024" s="51"/>
      <c r="D1024" s="51"/>
      <c r="E1024" s="51"/>
      <c r="F1024" s="51"/>
    </row>
    <row r="1025" spans="1:6" s="69" customFormat="1" ht="12" customHeight="1" x14ac:dyDescent="0.3">
      <c r="A1025" s="57"/>
      <c r="B1025" s="51"/>
      <c r="C1025" s="51"/>
      <c r="D1025" s="51"/>
      <c r="E1025" s="51"/>
      <c r="F1025" s="51"/>
    </row>
    <row r="1026" spans="1:6" s="69" customFormat="1" ht="12" customHeight="1" x14ac:dyDescent="0.3">
      <c r="A1026" s="57"/>
      <c r="B1026" s="51"/>
      <c r="C1026" s="51"/>
      <c r="D1026" s="51"/>
      <c r="E1026" s="51"/>
      <c r="F1026" s="51"/>
    </row>
    <row r="1027" spans="1:6" s="69" customFormat="1" ht="12" customHeight="1" x14ac:dyDescent="0.3">
      <c r="A1027" s="57"/>
      <c r="B1027" s="51"/>
      <c r="C1027" s="51"/>
      <c r="D1027" s="51"/>
      <c r="E1027" s="51"/>
      <c r="F1027" s="51"/>
    </row>
    <row r="1028" spans="1:6" s="69" customFormat="1" ht="12" customHeight="1" x14ac:dyDescent="0.3">
      <c r="A1028" s="57"/>
      <c r="B1028" s="51"/>
      <c r="C1028" s="51"/>
      <c r="D1028" s="51"/>
      <c r="E1028" s="51"/>
      <c r="F1028" s="51"/>
    </row>
    <row r="1029" spans="1:6" s="69" customFormat="1" ht="12" customHeight="1" x14ac:dyDescent="0.3">
      <c r="A1029" s="57"/>
      <c r="B1029" s="51"/>
      <c r="C1029" s="51"/>
      <c r="D1029" s="51"/>
      <c r="E1029" s="51"/>
      <c r="F1029" s="51"/>
    </row>
    <row r="1030" spans="1:6" s="69" customFormat="1" ht="12" customHeight="1" x14ac:dyDescent="0.3">
      <c r="A1030" s="57"/>
      <c r="B1030" s="51"/>
      <c r="C1030" s="51"/>
      <c r="D1030" s="51"/>
      <c r="E1030" s="51"/>
      <c r="F1030" s="51"/>
    </row>
    <row r="1031" spans="1:6" s="69" customFormat="1" ht="12" customHeight="1" x14ac:dyDescent="0.3">
      <c r="A1031" s="57"/>
      <c r="B1031" s="51"/>
      <c r="C1031" s="51"/>
      <c r="D1031" s="51"/>
      <c r="E1031" s="51"/>
      <c r="F1031" s="51"/>
    </row>
    <row r="1032" spans="1:6" s="69" customFormat="1" ht="12" customHeight="1" x14ac:dyDescent="0.3">
      <c r="A1032" s="57"/>
      <c r="B1032" s="51"/>
      <c r="C1032" s="51"/>
      <c r="D1032" s="51"/>
      <c r="E1032" s="51"/>
      <c r="F1032" s="51"/>
    </row>
    <row r="1033" spans="1:6" s="69" customFormat="1" ht="12" customHeight="1" x14ac:dyDescent="0.3">
      <c r="A1033" s="57"/>
      <c r="B1033" s="51"/>
      <c r="C1033" s="51"/>
      <c r="D1033" s="51"/>
      <c r="E1033" s="51"/>
      <c r="F1033" s="51"/>
    </row>
    <row r="1034" spans="1:6" s="69" customFormat="1" ht="12" customHeight="1" x14ac:dyDescent="0.3">
      <c r="A1034" s="57"/>
      <c r="B1034" s="51"/>
      <c r="C1034" s="51"/>
      <c r="D1034" s="51"/>
      <c r="E1034" s="51"/>
      <c r="F1034" s="51"/>
    </row>
    <row r="1035" spans="1:6" s="69" customFormat="1" ht="12" customHeight="1" x14ac:dyDescent="0.3">
      <c r="A1035" s="57"/>
      <c r="B1035" s="51"/>
      <c r="C1035" s="51"/>
      <c r="D1035" s="51"/>
      <c r="E1035" s="51"/>
      <c r="F1035" s="51"/>
    </row>
    <row r="1036" spans="1:6" s="69" customFormat="1" ht="12" customHeight="1" x14ac:dyDescent="0.3">
      <c r="A1036" s="57"/>
      <c r="B1036" s="51"/>
      <c r="C1036" s="51"/>
      <c r="D1036" s="51"/>
      <c r="E1036" s="51"/>
      <c r="F1036" s="51"/>
    </row>
    <row r="1037" spans="1:6" s="69" customFormat="1" ht="12" customHeight="1" x14ac:dyDescent="0.3">
      <c r="A1037" s="57"/>
      <c r="B1037" s="51"/>
      <c r="C1037" s="51"/>
      <c r="D1037" s="51"/>
      <c r="E1037" s="51"/>
      <c r="F1037" s="51"/>
    </row>
    <row r="1038" spans="1:6" s="69" customFormat="1" ht="12" customHeight="1" x14ac:dyDescent="0.3">
      <c r="A1038" s="57"/>
      <c r="B1038" s="51"/>
      <c r="C1038" s="51"/>
      <c r="D1038" s="51"/>
      <c r="E1038" s="51"/>
      <c r="F1038" s="51"/>
    </row>
    <row r="1039" spans="1:6" s="69" customFormat="1" ht="12" customHeight="1" x14ac:dyDescent="0.3">
      <c r="A1039" s="57"/>
      <c r="B1039" s="51"/>
      <c r="C1039" s="51"/>
      <c r="D1039" s="51"/>
      <c r="E1039" s="51"/>
      <c r="F1039" s="51"/>
    </row>
    <row r="1040" spans="1:6" s="69" customFormat="1" ht="12" customHeight="1" x14ac:dyDescent="0.3">
      <c r="A1040" s="57"/>
      <c r="B1040" s="51"/>
      <c r="C1040" s="51"/>
      <c r="D1040" s="51"/>
      <c r="E1040" s="51"/>
      <c r="F1040" s="51"/>
    </row>
    <row r="1041" spans="1:6" s="69" customFormat="1" ht="12" customHeight="1" x14ac:dyDescent="0.3">
      <c r="A1041" s="57"/>
      <c r="B1041" s="51"/>
      <c r="C1041" s="51"/>
      <c r="D1041" s="51"/>
      <c r="E1041" s="51"/>
      <c r="F1041" s="51"/>
    </row>
    <row r="1042" spans="1:6" s="69" customFormat="1" ht="12" customHeight="1" x14ac:dyDescent="0.3">
      <c r="A1042" s="57"/>
      <c r="B1042" s="51"/>
      <c r="C1042" s="51"/>
      <c r="D1042" s="51"/>
      <c r="E1042" s="51"/>
      <c r="F1042" s="51"/>
    </row>
    <row r="1043" spans="1:6" s="69" customFormat="1" ht="12" customHeight="1" x14ac:dyDescent="0.3">
      <c r="A1043" s="57"/>
      <c r="B1043" s="51"/>
      <c r="C1043" s="51"/>
      <c r="D1043" s="51"/>
      <c r="E1043" s="51"/>
      <c r="F1043" s="51"/>
    </row>
    <row r="1044" spans="1:6" s="69" customFormat="1" ht="12" customHeight="1" x14ac:dyDescent="0.3">
      <c r="A1044" s="57"/>
      <c r="B1044" s="51"/>
      <c r="C1044" s="51"/>
      <c r="D1044" s="51"/>
      <c r="E1044" s="51"/>
      <c r="F1044" s="51"/>
    </row>
    <row r="1045" spans="1:6" s="69" customFormat="1" ht="12" customHeight="1" x14ac:dyDescent="0.3">
      <c r="A1045" s="57"/>
      <c r="B1045" s="51"/>
      <c r="C1045" s="51"/>
      <c r="D1045" s="51"/>
      <c r="E1045" s="51"/>
      <c r="F1045" s="51"/>
    </row>
    <row r="1046" spans="1:6" s="69" customFormat="1" ht="12" customHeight="1" x14ac:dyDescent="0.3">
      <c r="A1046" s="57"/>
      <c r="B1046" s="51"/>
      <c r="C1046" s="51"/>
      <c r="D1046" s="51"/>
      <c r="E1046" s="51"/>
      <c r="F1046" s="51"/>
    </row>
    <row r="1047" spans="1:6" s="69" customFormat="1" ht="12" customHeight="1" x14ac:dyDescent="0.3">
      <c r="A1047" s="57"/>
      <c r="B1047" s="51"/>
      <c r="C1047" s="51"/>
      <c r="D1047" s="51"/>
      <c r="E1047" s="51"/>
      <c r="F1047" s="51"/>
    </row>
    <row r="1048" spans="1:6" s="69" customFormat="1" ht="12" customHeight="1" x14ac:dyDescent="0.3">
      <c r="A1048" s="57"/>
      <c r="B1048" s="51"/>
      <c r="C1048" s="51"/>
      <c r="D1048" s="51"/>
      <c r="E1048" s="51"/>
      <c r="F1048" s="51"/>
    </row>
    <row r="1049" spans="1:6" s="69" customFormat="1" ht="12" customHeight="1" x14ac:dyDescent="0.3">
      <c r="A1049" s="57"/>
      <c r="B1049" s="51"/>
      <c r="C1049" s="51"/>
      <c r="D1049" s="51"/>
      <c r="E1049" s="51"/>
      <c r="F1049" s="51"/>
    </row>
    <row r="1050" spans="1:6" s="69" customFormat="1" ht="12" customHeight="1" x14ac:dyDescent="0.3">
      <c r="A1050" s="57"/>
      <c r="B1050" s="51"/>
      <c r="C1050" s="51"/>
      <c r="D1050" s="51"/>
      <c r="E1050" s="51"/>
      <c r="F1050" s="51"/>
    </row>
    <row r="1051" spans="1:6" s="69" customFormat="1" ht="12" customHeight="1" x14ac:dyDescent="0.3">
      <c r="A1051" s="57"/>
      <c r="B1051" s="51"/>
      <c r="C1051" s="51"/>
      <c r="D1051" s="51"/>
      <c r="E1051" s="51"/>
      <c r="F1051" s="51"/>
    </row>
    <row r="1052" spans="1:6" s="69" customFormat="1" ht="12" customHeight="1" x14ac:dyDescent="0.3">
      <c r="A1052" s="57"/>
      <c r="B1052" s="51"/>
      <c r="C1052" s="51"/>
      <c r="D1052" s="51"/>
      <c r="E1052" s="51"/>
      <c r="F1052" s="51"/>
    </row>
    <row r="1053" spans="1:6" s="69" customFormat="1" ht="12" customHeight="1" x14ac:dyDescent="0.3">
      <c r="A1053" s="57"/>
      <c r="B1053" s="51"/>
      <c r="C1053" s="51"/>
      <c r="D1053" s="51"/>
      <c r="E1053" s="51"/>
      <c r="F1053" s="51"/>
    </row>
    <row r="1054" spans="1:6" s="69" customFormat="1" ht="12" customHeight="1" x14ac:dyDescent="0.3">
      <c r="A1054" s="57"/>
      <c r="B1054" s="51"/>
      <c r="C1054" s="51"/>
      <c r="D1054" s="51"/>
      <c r="E1054" s="51"/>
      <c r="F1054" s="51"/>
    </row>
    <row r="1055" spans="1:6" s="69" customFormat="1" ht="12" customHeight="1" x14ac:dyDescent="0.3">
      <c r="A1055" s="57"/>
      <c r="B1055" s="51"/>
      <c r="C1055" s="51"/>
      <c r="D1055" s="51"/>
      <c r="E1055" s="51"/>
      <c r="F1055" s="51"/>
    </row>
    <row r="1056" spans="1:6" s="69" customFormat="1" ht="12" customHeight="1" x14ac:dyDescent="0.3">
      <c r="A1056" s="57"/>
      <c r="B1056" s="51"/>
      <c r="C1056" s="51"/>
      <c r="D1056" s="51"/>
      <c r="E1056" s="51"/>
      <c r="F1056" s="51"/>
    </row>
    <row r="1057" spans="1:6" s="69" customFormat="1" ht="12" customHeight="1" x14ac:dyDescent="0.3">
      <c r="A1057" s="57"/>
      <c r="B1057" s="51"/>
      <c r="C1057" s="51"/>
      <c r="D1057" s="51"/>
      <c r="E1057" s="51"/>
      <c r="F1057" s="51"/>
    </row>
    <row r="1058" spans="1:6" s="69" customFormat="1" ht="12" customHeight="1" x14ac:dyDescent="0.3">
      <c r="A1058" s="57"/>
      <c r="B1058" s="51"/>
      <c r="C1058" s="51"/>
      <c r="D1058" s="51"/>
      <c r="E1058" s="51"/>
      <c r="F1058" s="51"/>
    </row>
    <row r="1059" spans="1:6" s="69" customFormat="1" ht="12" customHeight="1" x14ac:dyDescent="0.3">
      <c r="A1059" s="57"/>
      <c r="B1059" s="51"/>
      <c r="C1059" s="51"/>
      <c r="D1059" s="51"/>
      <c r="E1059" s="51"/>
      <c r="F1059" s="51"/>
    </row>
    <row r="1060" spans="1:6" s="69" customFormat="1" ht="12" customHeight="1" x14ac:dyDescent="0.3">
      <c r="A1060" s="57"/>
      <c r="B1060" s="51"/>
      <c r="C1060" s="51"/>
      <c r="D1060" s="51"/>
      <c r="E1060" s="51"/>
      <c r="F1060" s="51"/>
    </row>
    <row r="1061" spans="1:6" s="69" customFormat="1" ht="12" customHeight="1" x14ac:dyDescent="0.3">
      <c r="A1061" s="57"/>
      <c r="B1061" s="51"/>
      <c r="C1061" s="51"/>
      <c r="D1061" s="51"/>
      <c r="E1061" s="51"/>
      <c r="F1061" s="51"/>
    </row>
    <row r="1062" spans="1:6" s="69" customFormat="1" ht="12" customHeight="1" x14ac:dyDescent="0.3">
      <c r="A1062" s="57"/>
      <c r="B1062" s="51"/>
      <c r="C1062" s="51"/>
      <c r="D1062" s="51"/>
      <c r="E1062" s="51"/>
      <c r="F1062" s="51"/>
    </row>
    <row r="1063" spans="1:6" s="69" customFormat="1" ht="12" customHeight="1" x14ac:dyDescent="0.3">
      <c r="A1063" s="57"/>
      <c r="B1063" s="51"/>
      <c r="C1063" s="51"/>
      <c r="D1063" s="51"/>
      <c r="E1063" s="51"/>
      <c r="F1063" s="51"/>
    </row>
    <row r="1064" spans="1:6" s="69" customFormat="1" ht="12" customHeight="1" x14ac:dyDescent="0.3">
      <c r="A1064" s="57"/>
      <c r="B1064" s="51"/>
      <c r="C1064" s="51"/>
      <c r="D1064" s="51"/>
      <c r="E1064" s="51"/>
      <c r="F1064" s="51"/>
    </row>
    <row r="1065" spans="1:6" s="69" customFormat="1" ht="12" customHeight="1" x14ac:dyDescent="0.3">
      <c r="A1065" s="57"/>
      <c r="B1065" s="51"/>
      <c r="C1065" s="51"/>
      <c r="D1065" s="51"/>
      <c r="E1065" s="51"/>
      <c r="F1065" s="51"/>
    </row>
    <row r="1066" spans="1:6" s="69" customFormat="1" ht="12" customHeight="1" x14ac:dyDescent="0.3">
      <c r="A1066" s="57"/>
      <c r="B1066" s="51"/>
      <c r="C1066" s="51"/>
      <c r="D1066" s="51"/>
      <c r="E1066" s="51"/>
      <c r="F1066" s="51"/>
    </row>
    <row r="1067" spans="1:6" s="69" customFormat="1" ht="12" customHeight="1" x14ac:dyDescent="0.3">
      <c r="A1067" s="57"/>
      <c r="B1067" s="51"/>
      <c r="C1067" s="51"/>
      <c r="D1067" s="51"/>
      <c r="E1067" s="51"/>
      <c r="F1067" s="51"/>
    </row>
    <row r="1068" spans="1:6" s="69" customFormat="1" ht="12" customHeight="1" x14ac:dyDescent="0.3">
      <c r="A1068" s="57"/>
      <c r="B1068" s="51"/>
      <c r="C1068" s="51"/>
      <c r="D1068" s="51"/>
      <c r="E1068" s="51"/>
      <c r="F1068" s="51"/>
    </row>
    <row r="1069" spans="1:6" s="69" customFormat="1" ht="12" customHeight="1" x14ac:dyDescent="0.3">
      <c r="A1069" s="57"/>
      <c r="B1069" s="51"/>
      <c r="C1069" s="51"/>
      <c r="D1069" s="51"/>
      <c r="E1069" s="51"/>
      <c r="F1069" s="51"/>
    </row>
    <row r="1070" spans="1:6" s="69" customFormat="1" ht="12" customHeight="1" x14ac:dyDescent="0.3">
      <c r="A1070" s="57"/>
      <c r="B1070" s="51"/>
      <c r="C1070" s="51"/>
      <c r="D1070" s="51"/>
      <c r="E1070" s="51"/>
      <c r="F1070" s="51"/>
    </row>
    <row r="1071" spans="1:6" s="69" customFormat="1" ht="12" customHeight="1" x14ac:dyDescent="0.3">
      <c r="A1071" s="57"/>
      <c r="B1071" s="51"/>
      <c r="C1071" s="51"/>
      <c r="D1071" s="51"/>
      <c r="E1071" s="51"/>
      <c r="F1071" s="51"/>
    </row>
    <row r="1072" spans="1:6" s="69" customFormat="1" ht="12" customHeight="1" x14ac:dyDescent="0.3">
      <c r="A1072" s="57"/>
      <c r="B1072" s="51"/>
      <c r="C1072" s="51"/>
      <c r="D1072" s="51"/>
      <c r="E1072" s="51"/>
      <c r="F1072" s="51"/>
    </row>
    <row r="1073" spans="1:6" s="69" customFormat="1" ht="12" customHeight="1" x14ac:dyDescent="0.3">
      <c r="A1073" s="57"/>
      <c r="B1073" s="51"/>
      <c r="C1073" s="51"/>
      <c r="D1073" s="51"/>
      <c r="E1073" s="51"/>
      <c r="F1073" s="51"/>
    </row>
    <row r="1074" spans="1:6" s="69" customFormat="1" ht="12" customHeight="1" x14ac:dyDescent="0.3">
      <c r="A1074" s="57"/>
      <c r="B1074" s="51"/>
      <c r="C1074" s="51"/>
      <c r="D1074" s="51"/>
      <c r="E1074" s="51"/>
      <c r="F1074" s="51"/>
    </row>
    <row r="1075" spans="1:6" s="69" customFormat="1" ht="12" customHeight="1" x14ac:dyDescent="0.3">
      <c r="A1075" s="57"/>
      <c r="B1075" s="51"/>
      <c r="C1075" s="51"/>
      <c r="D1075" s="51"/>
      <c r="E1075" s="51"/>
      <c r="F1075" s="51"/>
    </row>
    <row r="1076" spans="1:6" s="69" customFormat="1" ht="12" customHeight="1" x14ac:dyDescent="0.3">
      <c r="A1076" s="57"/>
      <c r="B1076" s="51"/>
      <c r="C1076" s="51"/>
      <c r="D1076" s="51"/>
      <c r="E1076" s="51"/>
      <c r="F1076" s="51"/>
    </row>
    <row r="1077" spans="1:6" s="69" customFormat="1" ht="12" customHeight="1" x14ac:dyDescent="0.3">
      <c r="A1077" s="57"/>
      <c r="B1077" s="51"/>
      <c r="C1077" s="51"/>
      <c r="D1077" s="51"/>
      <c r="E1077" s="51"/>
      <c r="F1077" s="51"/>
    </row>
    <row r="1078" spans="1:6" s="69" customFormat="1" ht="12" customHeight="1" x14ac:dyDescent="0.3">
      <c r="A1078" s="57"/>
      <c r="B1078" s="51"/>
      <c r="C1078" s="51"/>
      <c r="D1078" s="51"/>
      <c r="E1078" s="51"/>
      <c r="F1078" s="51"/>
    </row>
    <row r="1079" spans="1:6" s="69" customFormat="1" ht="12" customHeight="1" x14ac:dyDescent="0.3">
      <c r="A1079" s="57"/>
      <c r="B1079" s="51"/>
      <c r="C1079" s="51"/>
      <c r="D1079" s="51"/>
      <c r="E1079" s="51"/>
      <c r="F1079" s="51"/>
    </row>
    <row r="1080" spans="1:6" s="69" customFormat="1" ht="12" customHeight="1" x14ac:dyDescent="0.3">
      <c r="A1080" s="57"/>
      <c r="B1080" s="51"/>
      <c r="C1080" s="51"/>
      <c r="D1080" s="51"/>
      <c r="E1080" s="51"/>
      <c r="F1080" s="51"/>
    </row>
    <row r="1081" spans="1:6" s="69" customFormat="1" ht="12" customHeight="1" x14ac:dyDescent="0.3">
      <c r="A1081" s="57"/>
      <c r="B1081" s="51"/>
      <c r="C1081" s="51"/>
      <c r="D1081" s="51"/>
      <c r="E1081" s="51"/>
      <c r="F1081" s="51"/>
    </row>
    <row r="1082" spans="1:6" s="69" customFormat="1" ht="12" customHeight="1" x14ac:dyDescent="0.3">
      <c r="A1082" s="57"/>
      <c r="B1082" s="51"/>
      <c r="C1082" s="51"/>
      <c r="D1082" s="51"/>
      <c r="E1082" s="51"/>
      <c r="F1082" s="51"/>
    </row>
    <row r="1083" spans="1:6" s="69" customFormat="1" ht="12" customHeight="1" x14ac:dyDescent="0.3">
      <c r="A1083" s="57"/>
      <c r="B1083" s="51"/>
      <c r="C1083" s="51"/>
      <c r="D1083" s="51"/>
      <c r="E1083" s="51"/>
      <c r="F1083" s="51"/>
    </row>
    <row r="1084" spans="1:6" s="69" customFormat="1" ht="12" customHeight="1" x14ac:dyDescent="0.3">
      <c r="A1084" s="57"/>
      <c r="B1084" s="51"/>
      <c r="C1084" s="51"/>
      <c r="D1084" s="51"/>
      <c r="E1084" s="51"/>
      <c r="F1084" s="51"/>
    </row>
    <row r="1085" spans="1:6" s="69" customFormat="1" ht="12" customHeight="1" x14ac:dyDescent="0.3">
      <c r="A1085" s="57"/>
      <c r="B1085" s="51"/>
      <c r="C1085" s="51"/>
      <c r="D1085" s="51"/>
      <c r="E1085" s="51"/>
      <c r="F1085" s="51"/>
    </row>
    <row r="1086" spans="1:6" s="69" customFormat="1" ht="12" customHeight="1" x14ac:dyDescent="0.3">
      <c r="A1086" s="57"/>
      <c r="B1086" s="51"/>
      <c r="C1086" s="51"/>
      <c r="D1086" s="51"/>
      <c r="E1086" s="51"/>
      <c r="F1086" s="51"/>
    </row>
    <row r="1087" spans="1:6" s="69" customFormat="1" ht="12" customHeight="1" x14ac:dyDescent="0.3">
      <c r="A1087" s="57"/>
      <c r="B1087" s="51"/>
      <c r="C1087" s="51"/>
      <c r="D1087" s="51"/>
      <c r="E1087" s="51"/>
      <c r="F1087" s="51"/>
    </row>
    <row r="1088" spans="1:6" s="69" customFormat="1" ht="12" customHeight="1" x14ac:dyDescent="0.3">
      <c r="A1088" s="57"/>
      <c r="B1088" s="51"/>
      <c r="C1088" s="51"/>
      <c r="D1088" s="51"/>
      <c r="E1088" s="51"/>
      <c r="F1088" s="51"/>
    </row>
    <row r="1089" spans="1:6" s="69" customFormat="1" ht="12" customHeight="1" x14ac:dyDescent="0.3">
      <c r="A1089" s="57"/>
      <c r="B1089" s="51"/>
      <c r="C1089" s="51"/>
      <c r="D1089" s="51"/>
      <c r="E1089" s="51"/>
      <c r="F1089" s="51"/>
    </row>
    <row r="1090" spans="1:6" s="69" customFormat="1" ht="12" customHeight="1" x14ac:dyDescent="0.3">
      <c r="A1090" s="57"/>
      <c r="B1090" s="51"/>
      <c r="C1090" s="51"/>
      <c r="D1090" s="51"/>
      <c r="E1090" s="51"/>
      <c r="F1090" s="51"/>
    </row>
    <row r="1091" spans="1:6" s="69" customFormat="1" ht="12" customHeight="1" x14ac:dyDescent="0.3">
      <c r="A1091" s="57"/>
      <c r="B1091" s="51"/>
      <c r="C1091" s="51"/>
      <c r="D1091" s="51"/>
      <c r="E1091" s="51"/>
      <c r="F1091" s="51"/>
    </row>
    <row r="1092" spans="1:6" s="69" customFormat="1" ht="12" customHeight="1" x14ac:dyDescent="0.3">
      <c r="A1092" s="57"/>
      <c r="B1092" s="51"/>
      <c r="C1092" s="51"/>
      <c r="D1092" s="51"/>
      <c r="E1092" s="51"/>
      <c r="F1092" s="51"/>
    </row>
    <row r="1093" spans="1:6" s="69" customFormat="1" ht="12" customHeight="1" x14ac:dyDescent="0.3">
      <c r="A1093" s="57"/>
      <c r="B1093" s="51"/>
      <c r="C1093" s="51"/>
      <c r="D1093" s="51"/>
      <c r="E1093" s="51"/>
      <c r="F1093" s="51"/>
    </row>
    <row r="1094" spans="1:6" s="69" customFormat="1" ht="12" customHeight="1" x14ac:dyDescent="0.3">
      <c r="A1094" s="57"/>
      <c r="B1094" s="51"/>
      <c r="C1094" s="51"/>
      <c r="D1094" s="51"/>
      <c r="E1094" s="51"/>
      <c r="F1094" s="51"/>
    </row>
    <row r="1095" spans="1:6" s="69" customFormat="1" ht="12" customHeight="1" x14ac:dyDescent="0.3">
      <c r="A1095" s="57"/>
      <c r="B1095" s="51"/>
      <c r="C1095" s="51"/>
      <c r="D1095" s="51"/>
      <c r="E1095" s="51"/>
      <c r="F1095" s="51"/>
    </row>
    <row r="1096" spans="1:6" s="69" customFormat="1" ht="12" customHeight="1" x14ac:dyDescent="0.3">
      <c r="A1096" s="57"/>
      <c r="B1096" s="51"/>
      <c r="C1096" s="51"/>
      <c r="D1096" s="51"/>
      <c r="E1096" s="51"/>
      <c r="F1096" s="51"/>
    </row>
    <row r="1097" spans="1:6" s="69" customFormat="1" ht="12" customHeight="1" x14ac:dyDescent="0.3">
      <c r="A1097" s="57"/>
      <c r="B1097" s="51"/>
      <c r="C1097" s="51"/>
      <c r="D1097" s="51"/>
      <c r="E1097" s="51"/>
      <c r="F1097" s="51"/>
    </row>
    <row r="1098" spans="1:6" s="69" customFormat="1" ht="12" customHeight="1" x14ac:dyDescent="0.3">
      <c r="A1098" s="57"/>
      <c r="B1098" s="51"/>
      <c r="C1098" s="51"/>
      <c r="D1098" s="51"/>
      <c r="E1098" s="51"/>
      <c r="F1098" s="51"/>
    </row>
    <row r="1099" spans="1:6" s="69" customFormat="1" ht="12" customHeight="1" x14ac:dyDescent="0.3">
      <c r="A1099" s="57"/>
      <c r="B1099" s="51"/>
      <c r="C1099" s="51"/>
      <c r="D1099" s="51"/>
      <c r="E1099" s="51"/>
      <c r="F1099" s="51"/>
    </row>
    <row r="1100" spans="1:6" s="69" customFormat="1" ht="12" customHeight="1" x14ac:dyDescent="0.3">
      <c r="A1100" s="57"/>
      <c r="B1100" s="51"/>
      <c r="C1100" s="51"/>
      <c r="D1100" s="51"/>
      <c r="E1100" s="51"/>
      <c r="F1100" s="51"/>
    </row>
    <row r="1101" spans="1:6" s="69" customFormat="1" ht="12" customHeight="1" x14ac:dyDescent="0.3">
      <c r="A1101" s="57"/>
      <c r="B1101" s="51"/>
      <c r="C1101" s="51"/>
      <c r="D1101" s="51"/>
      <c r="E1101" s="51"/>
      <c r="F1101" s="51"/>
    </row>
    <row r="1102" spans="1:6" s="69" customFormat="1" ht="12" customHeight="1" x14ac:dyDescent="0.3">
      <c r="A1102" s="57"/>
      <c r="B1102" s="51"/>
      <c r="C1102" s="51"/>
      <c r="D1102" s="51"/>
      <c r="E1102" s="51"/>
      <c r="F1102" s="51"/>
    </row>
    <row r="1103" spans="1:6" s="69" customFormat="1" ht="12" customHeight="1" x14ac:dyDescent="0.3">
      <c r="A1103" s="57"/>
      <c r="B1103" s="51"/>
      <c r="C1103" s="51"/>
      <c r="D1103" s="51"/>
      <c r="E1103" s="51"/>
      <c r="F1103" s="51"/>
    </row>
    <row r="1104" spans="1:6" s="69" customFormat="1" ht="12" customHeight="1" x14ac:dyDescent="0.3">
      <c r="A1104" s="57"/>
      <c r="B1104" s="51"/>
      <c r="C1104" s="51"/>
      <c r="D1104" s="51"/>
      <c r="E1104" s="51"/>
      <c r="F1104" s="51"/>
    </row>
    <row r="1105" spans="1:6" s="69" customFormat="1" ht="12" customHeight="1" x14ac:dyDescent="0.3">
      <c r="A1105" s="57"/>
      <c r="B1105" s="51"/>
      <c r="C1105" s="51"/>
      <c r="D1105" s="51"/>
      <c r="E1105" s="51"/>
      <c r="F1105" s="51"/>
    </row>
    <row r="1106" spans="1:6" s="69" customFormat="1" ht="12" customHeight="1" x14ac:dyDescent="0.3">
      <c r="A1106" s="57"/>
      <c r="B1106" s="51"/>
      <c r="C1106" s="51"/>
      <c r="D1106" s="51"/>
      <c r="E1106" s="51"/>
      <c r="F1106" s="51"/>
    </row>
    <row r="1107" spans="1:6" s="69" customFormat="1" ht="12" customHeight="1" x14ac:dyDescent="0.3">
      <c r="A1107" s="57"/>
      <c r="B1107" s="51"/>
      <c r="C1107" s="51"/>
      <c r="D1107" s="51"/>
      <c r="E1107" s="51"/>
      <c r="F1107" s="51"/>
    </row>
    <row r="1108" spans="1:6" s="69" customFormat="1" ht="12" customHeight="1" x14ac:dyDescent="0.3">
      <c r="A1108" s="57"/>
      <c r="B1108" s="51"/>
      <c r="C1108" s="51"/>
      <c r="D1108" s="51"/>
      <c r="E1108" s="51"/>
      <c r="F1108" s="51"/>
    </row>
    <row r="1109" spans="1:6" s="69" customFormat="1" ht="12" customHeight="1" x14ac:dyDescent="0.3">
      <c r="A1109" s="57"/>
      <c r="B1109" s="51"/>
      <c r="C1109" s="51"/>
      <c r="D1109" s="51"/>
      <c r="E1109" s="51"/>
      <c r="F1109" s="51"/>
    </row>
    <row r="1110" spans="1:6" s="69" customFormat="1" ht="12" customHeight="1" x14ac:dyDescent="0.3">
      <c r="A1110" s="57"/>
      <c r="B1110" s="51"/>
      <c r="C1110" s="51"/>
      <c r="D1110" s="51"/>
      <c r="E1110" s="51"/>
      <c r="F1110" s="51"/>
    </row>
    <row r="1111" spans="1:6" s="69" customFormat="1" ht="12" customHeight="1" x14ac:dyDescent="0.3">
      <c r="A1111" s="57"/>
      <c r="B1111" s="51"/>
      <c r="C1111" s="51"/>
      <c r="D1111" s="51"/>
      <c r="E1111" s="51"/>
      <c r="F1111" s="51"/>
    </row>
    <row r="1112" spans="1:6" s="69" customFormat="1" ht="12" customHeight="1" x14ac:dyDescent="0.3">
      <c r="A1112" s="57"/>
      <c r="B1112" s="51"/>
      <c r="C1112" s="51"/>
      <c r="D1112" s="51"/>
      <c r="E1112" s="51"/>
      <c r="F1112" s="51"/>
    </row>
    <row r="1113" spans="1:6" s="69" customFormat="1" ht="12" customHeight="1" x14ac:dyDescent="0.3">
      <c r="A1113" s="57"/>
      <c r="B1113" s="51"/>
      <c r="C1113" s="51"/>
      <c r="D1113" s="51"/>
      <c r="E1113" s="51"/>
      <c r="F1113" s="51"/>
    </row>
    <row r="1114" spans="1:6" s="69" customFormat="1" ht="12" customHeight="1" x14ac:dyDescent="0.3">
      <c r="A1114" s="57"/>
      <c r="B1114" s="51"/>
      <c r="C1114" s="51"/>
      <c r="D1114" s="51"/>
      <c r="E1114" s="51"/>
      <c r="F1114" s="51"/>
    </row>
    <row r="1115" spans="1:6" s="69" customFormat="1" ht="12" customHeight="1" x14ac:dyDescent="0.3">
      <c r="A1115" s="57"/>
      <c r="B1115" s="51"/>
      <c r="C1115" s="51"/>
      <c r="D1115" s="51"/>
      <c r="E1115" s="51"/>
      <c r="F1115" s="51"/>
    </row>
    <row r="1116" spans="1:6" s="69" customFormat="1" ht="12" customHeight="1" x14ac:dyDescent="0.3">
      <c r="A1116" s="57"/>
      <c r="B1116" s="51"/>
      <c r="C1116" s="51"/>
      <c r="D1116" s="51"/>
      <c r="E1116" s="51"/>
      <c r="F1116" s="51"/>
    </row>
    <row r="1117" spans="1:6" s="69" customFormat="1" ht="12" customHeight="1" x14ac:dyDescent="0.3">
      <c r="A1117" s="57"/>
      <c r="B1117" s="51"/>
      <c r="C1117" s="51"/>
      <c r="D1117" s="51"/>
      <c r="E1117" s="51"/>
      <c r="F1117" s="51"/>
    </row>
    <row r="1118" spans="1:6" s="69" customFormat="1" ht="12" customHeight="1" x14ac:dyDescent="0.3">
      <c r="A1118" s="57"/>
      <c r="B1118" s="51"/>
      <c r="C1118" s="51"/>
      <c r="D1118" s="51"/>
      <c r="E1118" s="51"/>
      <c r="F1118" s="51"/>
    </row>
    <row r="1119" spans="1:6" s="69" customFormat="1" ht="12" customHeight="1" x14ac:dyDescent="0.3">
      <c r="A1119" s="57"/>
      <c r="B1119" s="51"/>
      <c r="C1119" s="51"/>
      <c r="D1119" s="51"/>
      <c r="E1119" s="51"/>
      <c r="F1119" s="51"/>
    </row>
    <row r="1120" spans="1:6" s="69" customFormat="1" ht="12" customHeight="1" x14ac:dyDescent="0.3">
      <c r="A1120" s="57"/>
      <c r="B1120" s="51"/>
      <c r="C1120" s="51"/>
      <c r="D1120" s="51"/>
      <c r="E1120" s="51"/>
      <c r="F1120" s="51"/>
    </row>
    <row r="1121" spans="1:6" s="69" customFormat="1" ht="12" customHeight="1" x14ac:dyDescent="0.3">
      <c r="A1121" s="57"/>
      <c r="B1121" s="51"/>
      <c r="C1121" s="51"/>
      <c r="D1121" s="51"/>
      <c r="E1121" s="51"/>
      <c r="F1121" s="51"/>
    </row>
    <row r="1122" spans="1:6" s="69" customFormat="1" ht="12" customHeight="1" x14ac:dyDescent="0.3">
      <c r="A1122" s="57"/>
      <c r="B1122" s="51"/>
      <c r="C1122" s="51"/>
      <c r="D1122" s="51"/>
      <c r="E1122" s="51"/>
      <c r="F1122" s="51"/>
    </row>
    <row r="1123" spans="1:6" s="69" customFormat="1" ht="12" customHeight="1" x14ac:dyDescent="0.3">
      <c r="A1123" s="57"/>
      <c r="B1123" s="51"/>
      <c r="C1123" s="51"/>
      <c r="D1123" s="51"/>
      <c r="E1123" s="51"/>
      <c r="F1123" s="51"/>
    </row>
    <row r="1124" spans="1:6" s="69" customFormat="1" ht="12" customHeight="1" x14ac:dyDescent="0.3">
      <c r="A1124" s="57"/>
      <c r="B1124" s="51"/>
      <c r="C1124" s="51"/>
      <c r="D1124" s="51"/>
      <c r="E1124" s="51"/>
      <c r="F1124" s="51"/>
    </row>
    <row r="1125" spans="1:6" s="69" customFormat="1" ht="12" customHeight="1" x14ac:dyDescent="0.3">
      <c r="A1125" s="57"/>
      <c r="B1125" s="51"/>
      <c r="C1125" s="51"/>
      <c r="D1125" s="51"/>
      <c r="E1125" s="51"/>
      <c r="F1125" s="51"/>
    </row>
    <row r="1126" spans="1:6" s="69" customFormat="1" ht="12" customHeight="1" x14ac:dyDescent="0.3">
      <c r="A1126" s="57"/>
      <c r="B1126" s="51"/>
      <c r="C1126" s="51"/>
      <c r="D1126" s="51"/>
      <c r="E1126" s="51"/>
      <c r="F1126" s="51"/>
    </row>
    <row r="1127" spans="1:6" s="69" customFormat="1" ht="12" customHeight="1" x14ac:dyDescent="0.3">
      <c r="A1127" s="57"/>
      <c r="B1127" s="51"/>
      <c r="C1127" s="51"/>
      <c r="D1127" s="51"/>
      <c r="E1127" s="51"/>
      <c r="F1127" s="51"/>
    </row>
    <row r="1128" spans="1:6" s="69" customFormat="1" ht="12" customHeight="1" x14ac:dyDescent="0.3">
      <c r="A1128" s="57"/>
      <c r="B1128" s="51"/>
      <c r="C1128" s="51"/>
      <c r="D1128" s="51"/>
      <c r="E1128" s="51"/>
      <c r="F1128" s="51"/>
    </row>
    <row r="1129" spans="1:6" s="69" customFormat="1" ht="12" customHeight="1" x14ac:dyDescent="0.3">
      <c r="A1129" s="57"/>
      <c r="B1129" s="51"/>
      <c r="C1129" s="51"/>
      <c r="D1129" s="51"/>
      <c r="E1129" s="51"/>
      <c r="F1129" s="51"/>
    </row>
    <row r="1130" spans="1:6" s="69" customFormat="1" ht="12" customHeight="1" x14ac:dyDescent="0.3">
      <c r="A1130" s="57"/>
      <c r="B1130" s="51"/>
      <c r="C1130" s="51"/>
      <c r="D1130" s="51"/>
      <c r="E1130" s="51"/>
      <c r="F1130" s="51"/>
    </row>
    <row r="1131" spans="1:6" s="69" customFormat="1" ht="12" customHeight="1" x14ac:dyDescent="0.3">
      <c r="A1131" s="57"/>
      <c r="B1131" s="51"/>
      <c r="C1131" s="51"/>
      <c r="D1131" s="51"/>
      <c r="E1131" s="51"/>
      <c r="F1131" s="51"/>
    </row>
    <row r="1132" spans="1:6" s="69" customFormat="1" ht="12" customHeight="1" x14ac:dyDescent="0.3">
      <c r="A1132" s="57"/>
      <c r="B1132" s="51"/>
      <c r="C1132" s="51"/>
      <c r="D1132" s="51"/>
      <c r="E1132" s="51"/>
      <c r="F1132" s="51"/>
    </row>
    <row r="1133" spans="1:6" s="69" customFormat="1" ht="12" customHeight="1" x14ac:dyDescent="0.3">
      <c r="A1133" s="57"/>
      <c r="B1133" s="51"/>
      <c r="C1133" s="51"/>
      <c r="D1133" s="51"/>
      <c r="E1133" s="51"/>
      <c r="F1133" s="51"/>
    </row>
    <row r="1134" spans="1:6" s="69" customFormat="1" ht="12" customHeight="1" x14ac:dyDescent="0.3">
      <c r="A1134" s="57"/>
      <c r="B1134" s="51"/>
      <c r="C1134" s="51"/>
      <c r="D1134" s="51"/>
      <c r="E1134" s="51"/>
      <c r="F1134" s="51"/>
    </row>
    <row r="1135" spans="1:6" s="69" customFormat="1" ht="12" customHeight="1" x14ac:dyDescent="0.3">
      <c r="A1135" s="57"/>
      <c r="B1135" s="51"/>
      <c r="C1135" s="51"/>
      <c r="D1135" s="51"/>
      <c r="E1135" s="51"/>
      <c r="F1135" s="51"/>
    </row>
    <row r="1136" spans="1:6" s="69" customFormat="1" ht="12" customHeight="1" x14ac:dyDescent="0.3">
      <c r="A1136" s="57"/>
      <c r="B1136" s="51"/>
      <c r="C1136" s="51"/>
      <c r="D1136" s="51"/>
      <c r="E1136" s="51"/>
      <c r="F1136" s="51"/>
    </row>
    <row r="1137" spans="1:6" s="69" customFormat="1" ht="12" customHeight="1" x14ac:dyDescent="0.3">
      <c r="A1137" s="57"/>
      <c r="B1137" s="51"/>
      <c r="C1137" s="51"/>
      <c r="D1137" s="51"/>
      <c r="E1137" s="51"/>
      <c r="F1137" s="51"/>
    </row>
    <row r="1138" spans="1:6" s="69" customFormat="1" ht="12" customHeight="1" x14ac:dyDescent="0.3">
      <c r="A1138" s="57"/>
      <c r="B1138" s="51"/>
      <c r="C1138" s="51"/>
      <c r="D1138" s="51"/>
      <c r="E1138" s="51"/>
      <c r="F1138" s="51"/>
    </row>
    <row r="1139" spans="1:6" s="69" customFormat="1" ht="12" customHeight="1" x14ac:dyDescent="0.3">
      <c r="A1139" s="57"/>
      <c r="B1139" s="51"/>
      <c r="C1139" s="51"/>
      <c r="D1139" s="51"/>
      <c r="E1139" s="51"/>
      <c r="F1139" s="51"/>
    </row>
    <row r="1140" spans="1:6" s="69" customFormat="1" ht="12" customHeight="1" x14ac:dyDescent="0.3">
      <c r="A1140" s="57"/>
      <c r="B1140" s="51"/>
      <c r="C1140" s="51"/>
      <c r="D1140" s="51"/>
      <c r="E1140" s="51"/>
      <c r="F1140" s="51"/>
    </row>
    <row r="1141" spans="1:6" s="69" customFormat="1" ht="12" customHeight="1" x14ac:dyDescent="0.3">
      <c r="A1141" s="57"/>
      <c r="B1141" s="51"/>
      <c r="C1141" s="51"/>
      <c r="D1141" s="51"/>
      <c r="E1141" s="51"/>
      <c r="F1141" s="51"/>
    </row>
    <row r="1142" spans="1:6" s="69" customFormat="1" ht="12" customHeight="1" x14ac:dyDescent="0.3">
      <c r="A1142" s="57"/>
      <c r="B1142" s="51"/>
      <c r="C1142" s="51"/>
      <c r="D1142" s="51"/>
      <c r="E1142" s="51"/>
      <c r="F1142" s="51"/>
    </row>
    <row r="1143" spans="1:6" s="69" customFormat="1" ht="12" customHeight="1" x14ac:dyDescent="0.3">
      <c r="A1143" s="57"/>
      <c r="B1143" s="51"/>
      <c r="C1143" s="51"/>
      <c r="D1143" s="51"/>
      <c r="E1143" s="51"/>
      <c r="F1143" s="51"/>
    </row>
    <row r="1144" spans="1:6" s="69" customFormat="1" ht="12" customHeight="1" x14ac:dyDescent="0.3">
      <c r="A1144" s="57"/>
      <c r="B1144" s="51"/>
      <c r="C1144" s="51"/>
      <c r="D1144" s="51"/>
      <c r="E1144" s="51"/>
      <c r="F1144" s="51"/>
    </row>
    <row r="1145" spans="1:6" s="69" customFormat="1" ht="12" customHeight="1" x14ac:dyDescent="0.3">
      <c r="A1145" s="57"/>
      <c r="B1145" s="51"/>
      <c r="C1145" s="51"/>
      <c r="D1145" s="51"/>
      <c r="E1145" s="51"/>
      <c r="F1145" s="51"/>
    </row>
    <row r="1146" spans="1:6" s="69" customFormat="1" ht="12" customHeight="1" x14ac:dyDescent="0.3">
      <c r="A1146" s="57"/>
      <c r="B1146" s="51"/>
      <c r="C1146" s="51"/>
      <c r="D1146" s="51"/>
      <c r="E1146" s="51"/>
      <c r="F1146" s="51"/>
    </row>
    <row r="1147" spans="1:6" s="69" customFormat="1" ht="12" customHeight="1" x14ac:dyDescent="0.3">
      <c r="A1147" s="57"/>
      <c r="B1147" s="51"/>
      <c r="C1147" s="51"/>
      <c r="D1147" s="51"/>
      <c r="E1147" s="51"/>
      <c r="F1147" s="51"/>
    </row>
    <row r="1148" spans="1:6" s="69" customFormat="1" ht="12" customHeight="1" x14ac:dyDescent="0.3">
      <c r="A1148" s="57"/>
      <c r="B1148" s="51"/>
      <c r="C1148" s="51"/>
      <c r="D1148" s="51"/>
      <c r="E1148" s="51"/>
      <c r="F1148" s="51"/>
    </row>
    <row r="1149" spans="1:6" s="69" customFormat="1" ht="12" customHeight="1" x14ac:dyDescent="0.3">
      <c r="A1149" s="57"/>
      <c r="B1149" s="51"/>
      <c r="C1149" s="51"/>
      <c r="D1149" s="51"/>
      <c r="E1149" s="51"/>
      <c r="F1149" s="51"/>
    </row>
    <row r="1150" spans="1:6" s="69" customFormat="1" ht="12" customHeight="1" x14ac:dyDescent="0.3">
      <c r="A1150" s="57"/>
      <c r="B1150" s="51"/>
      <c r="C1150" s="51"/>
      <c r="D1150" s="51"/>
      <c r="E1150" s="51"/>
      <c r="F1150" s="51"/>
    </row>
    <row r="1151" spans="1:6" s="69" customFormat="1" ht="12" customHeight="1" x14ac:dyDescent="0.3">
      <c r="A1151" s="57"/>
      <c r="B1151" s="51"/>
      <c r="C1151" s="51"/>
      <c r="D1151" s="51"/>
      <c r="E1151" s="51"/>
      <c r="F1151" s="51"/>
    </row>
    <row r="1152" spans="1:6" s="69" customFormat="1" ht="12" customHeight="1" x14ac:dyDescent="0.3">
      <c r="A1152" s="57"/>
      <c r="B1152" s="51"/>
      <c r="C1152" s="51"/>
      <c r="D1152" s="51"/>
      <c r="E1152" s="51"/>
      <c r="F1152" s="51"/>
    </row>
    <row r="1153" spans="1:6" s="69" customFormat="1" ht="12" customHeight="1" x14ac:dyDescent="0.3">
      <c r="A1153" s="57"/>
      <c r="B1153" s="51"/>
      <c r="C1153" s="51"/>
      <c r="D1153" s="51"/>
      <c r="E1153" s="51"/>
      <c r="F1153" s="51"/>
    </row>
    <row r="1154" spans="1:6" s="69" customFormat="1" ht="12" customHeight="1" x14ac:dyDescent="0.3">
      <c r="A1154" s="57"/>
      <c r="B1154" s="51"/>
      <c r="C1154" s="51"/>
      <c r="D1154" s="51"/>
      <c r="E1154" s="51"/>
      <c r="F1154" s="51"/>
    </row>
    <row r="1155" spans="1:6" s="69" customFormat="1" ht="12" customHeight="1" x14ac:dyDescent="0.3">
      <c r="A1155" s="57"/>
      <c r="B1155" s="51"/>
      <c r="C1155" s="51"/>
      <c r="D1155" s="51"/>
      <c r="E1155" s="51"/>
      <c r="F1155" s="51"/>
    </row>
    <row r="1156" spans="1:6" s="69" customFormat="1" ht="12" customHeight="1" x14ac:dyDescent="0.3">
      <c r="A1156" s="57"/>
      <c r="B1156" s="51"/>
      <c r="C1156" s="51"/>
      <c r="D1156" s="51"/>
      <c r="E1156" s="51"/>
      <c r="F1156" s="51"/>
    </row>
    <row r="1157" spans="1:6" s="69" customFormat="1" ht="12" customHeight="1" x14ac:dyDescent="0.3">
      <c r="A1157" s="57"/>
      <c r="B1157" s="51"/>
      <c r="C1157" s="51"/>
      <c r="D1157" s="51"/>
      <c r="E1157" s="51"/>
      <c r="F1157" s="51"/>
    </row>
    <row r="1158" spans="1:6" s="69" customFormat="1" ht="12" customHeight="1" x14ac:dyDescent="0.3">
      <c r="A1158" s="57"/>
      <c r="B1158" s="51"/>
      <c r="C1158" s="51"/>
      <c r="D1158" s="51"/>
      <c r="E1158" s="51"/>
      <c r="F1158" s="51"/>
    </row>
    <row r="1159" spans="1:6" s="69" customFormat="1" ht="12" customHeight="1" x14ac:dyDescent="0.3">
      <c r="A1159" s="57"/>
      <c r="B1159" s="51"/>
      <c r="C1159" s="51"/>
      <c r="D1159" s="51"/>
      <c r="E1159" s="51"/>
      <c r="F1159" s="51"/>
    </row>
    <row r="1160" spans="1:6" s="69" customFormat="1" ht="12" customHeight="1" x14ac:dyDescent="0.3">
      <c r="A1160" s="57"/>
      <c r="B1160" s="51"/>
      <c r="C1160" s="51"/>
      <c r="D1160" s="51"/>
      <c r="E1160" s="51"/>
      <c r="F1160" s="51"/>
    </row>
    <row r="1161" spans="1:6" s="69" customFormat="1" ht="12" customHeight="1" x14ac:dyDescent="0.3">
      <c r="A1161" s="57"/>
      <c r="B1161" s="51"/>
      <c r="C1161" s="51"/>
      <c r="D1161" s="51"/>
      <c r="E1161" s="51"/>
      <c r="F1161" s="51"/>
    </row>
    <row r="1162" spans="1:6" s="69" customFormat="1" ht="12" customHeight="1" x14ac:dyDescent="0.3">
      <c r="A1162" s="57"/>
      <c r="B1162" s="51"/>
      <c r="C1162" s="51"/>
      <c r="D1162" s="51"/>
      <c r="E1162" s="51"/>
      <c r="F1162" s="51"/>
    </row>
    <row r="1163" spans="1:6" s="69" customFormat="1" ht="12" customHeight="1" x14ac:dyDescent="0.3">
      <c r="A1163" s="57"/>
      <c r="B1163" s="51"/>
      <c r="C1163" s="51"/>
      <c r="D1163" s="51"/>
      <c r="E1163" s="51"/>
      <c r="F1163" s="51"/>
    </row>
    <row r="1164" spans="1:6" s="69" customFormat="1" ht="12" customHeight="1" x14ac:dyDescent="0.3">
      <c r="A1164" s="57"/>
      <c r="B1164" s="51"/>
      <c r="C1164" s="51"/>
      <c r="D1164" s="51"/>
      <c r="E1164" s="51"/>
      <c r="F1164" s="51"/>
    </row>
    <row r="1165" spans="1:6" s="69" customFormat="1" ht="12" customHeight="1" x14ac:dyDescent="0.3">
      <c r="A1165" s="57"/>
      <c r="B1165" s="51"/>
      <c r="C1165" s="51"/>
      <c r="D1165" s="51"/>
      <c r="E1165" s="51"/>
      <c r="F1165" s="51"/>
    </row>
    <row r="1166" spans="1:6" s="69" customFormat="1" ht="12" customHeight="1" x14ac:dyDescent="0.3">
      <c r="A1166" s="57"/>
      <c r="B1166" s="51"/>
      <c r="C1166" s="51"/>
      <c r="D1166" s="51"/>
      <c r="E1166" s="51"/>
      <c r="F1166" s="51"/>
    </row>
    <row r="1167" spans="1:6" s="69" customFormat="1" ht="12" customHeight="1" x14ac:dyDescent="0.3">
      <c r="A1167" s="57"/>
      <c r="B1167" s="51"/>
      <c r="C1167" s="51"/>
      <c r="D1167" s="51"/>
      <c r="E1167" s="51"/>
      <c r="F1167" s="51"/>
    </row>
    <row r="1168" spans="1:6" s="69" customFormat="1" ht="12" customHeight="1" x14ac:dyDescent="0.3">
      <c r="A1168" s="57"/>
      <c r="B1168" s="51"/>
      <c r="C1168" s="51"/>
      <c r="D1168" s="51"/>
      <c r="E1168" s="51"/>
      <c r="F1168" s="51"/>
    </row>
    <row r="1169" spans="1:6" s="69" customFormat="1" ht="12" customHeight="1" x14ac:dyDescent="0.3">
      <c r="A1169" s="57"/>
      <c r="B1169" s="51"/>
      <c r="C1169" s="51"/>
      <c r="D1169" s="51"/>
      <c r="E1169" s="51"/>
      <c r="F1169" s="51"/>
    </row>
    <row r="1170" spans="1:6" s="69" customFormat="1" ht="12" customHeight="1" x14ac:dyDescent="0.3">
      <c r="A1170" s="57"/>
      <c r="B1170" s="51"/>
      <c r="C1170" s="51"/>
      <c r="D1170" s="51"/>
      <c r="E1170" s="51"/>
      <c r="F1170" s="51"/>
    </row>
    <row r="1171" spans="1:6" s="69" customFormat="1" ht="12" customHeight="1" x14ac:dyDescent="0.3">
      <c r="A1171" s="57"/>
      <c r="B1171" s="51"/>
      <c r="C1171" s="51"/>
      <c r="D1171" s="51"/>
      <c r="E1171" s="51"/>
      <c r="F1171" s="51"/>
    </row>
    <row r="1172" spans="1:6" s="69" customFormat="1" ht="12" customHeight="1" x14ac:dyDescent="0.3">
      <c r="A1172" s="57"/>
      <c r="B1172" s="51"/>
      <c r="C1172" s="51"/>
      <c r="D1172" s="51"/>
      <c r="E1172" s="51"/>
      <c r="F1172" s="51"/>
    </row>
    <row r="1173" spans="1:6" s="69" customFormat="1" ht="12" customHeight="1" x14ac:dyDescent="0.3">
      <c r="A1173" s="57"/>
      <c r="B1173" s="51"/>
      <c r="C1173" s="51"/>
      <c r="D1173" s="51"/>
      <c r="E1173" s="51"/>
      <c r="F1173" s="51"/>
    </row>
    <row r="1174" spans="1:6" s="69" customFormat="1" ht="12" customHeight="1" x14ac:dyDescent="0.3">
      <c r="A1174" s="57"/>
      <c r="B1174" s="51"/>
      <c r="C1174" s="51"/>
      <c r="D1174" s="51"/>
      <c r="E1174" s="51"/>
      <c r="F1174" s="51"/>
    </row>
    <row r="1175" spans="1:6" s="69" customFormat="1" ht="12" customHeight="1" x14ac:dyDescent="0.3">
      <c r="A1175" s="57"/>
      <c r="B1175" s="51"/>
      <c r="C1175" s="51"/>
      <c r="D1175" s="51"/>
      <c r="E1175" s="51"/>
      <c r="F1175" s="51"/>
    </row>
    <row r="1176" spans="1:6" s="69" customFormat="1" ht="12" customHeight="1" x14ac:dyDescent="0.3">
      <c r="A1176" s="57"/>
      <c r="B1176" s="51"/>
      <c r="C1176" s="51"/>
      <c r="D1176" s="51"/>
      <c r="E1176" s="51"/>
      <c r="F1176" s="51"/>
    </row>
    <row r="1177" spans="1:6" s="69" customFormat="1" ht="12" customHeight="1" x14ac:dyDescent="0.3">
      <c r="A1177" s="57"/>
      <c r="B1177" s="51"/>
      <c r="C1177" s="51"/>
      <c r="D1177" s="51"/>
      <c r="E1177" s="51"/>
      <c r="F1177" s="51"/>
    </row>
    <row r="1178" spans="1:6" s="69" customFormat="1" ht="12" customHeight="1" x14ac:dyDescent="0.3">
      <c r="A1178" s="57"/>
      <c r="B1178" s="51"/>
      <c r="C1178" s="51"/>
      <c r="D1178" s="51"/>
      <c r="E1178" s="51"/>
      <c r="F1178" s="51"/>
    </row>
    <row r="1179" spans="1:6" s="69" customFormat="1" ht="12" customHeight="1" x14ac:dyDescent="0.3">
      <c r="A1179" s="57"/>
      <c r="B1179" s="51"/>
      <c r="C1179" s="51"/>
      <c r="D1179" s="51"/>
      <c r="E1179" s="51"/>
      <c r="F1179" s="51"/>
    </row>
    <row r="1180" spans="1:6" s="69" customFormat="1" ht="12" customHeight="1" x14ac:dyDescent="0.3">
      <c r="A1180" s="57"/>
      <c r="B1180" s="51"/>
      <c r="C1180" s="51"/>
      <c r="D1180" s="51"/>
      <c r="E1180" s="51"/>
      <c r="F1180" s="51"/>
    </row>
    <row r="1181" spans="1:6" s="69" customFormat="1" ht="12" customHeight="1" x14ac:dyDescent="0.3">
      <c r="A1181" s="57"/>
      <c r="B1181" s="51"/>
      <c r="C1181" s="51"/>
      <c r="D1181" s="51"/>
      <c r="E1181" s="51"/>
      <c r="F1181" s="51"/>
    </row>
    <row r="1182" spans="1:6" s="69" customFormat="1" ht="12" customHeight="1" x14ac:dyDescent="0.3">
      <c r="A1182" s="57"/>
      <c r="B1182" s="51"/>
      <c r="C1182" s="51"/>
      <c r="D1182" s="51"/>
      <c r="E1182" s="51"/>
      <c r="F1182" s="51"/>
    </row>
    <row r="1183" spans="1:6" s="69" customFormat="1" ht="12" customHeight="1" x14ac:dyDescent="0.3">
      <c r="A1183" s="57"/>
      <c r="B1183" s="51"/>
      <c r="C1183" s="51"/>
      <c r="D1183" s="51"/>
      <c r="E1183" s="51"/>
      <c r="F1183" s="51"/>
    </row>
    <row r="1184" spans="1:6" s="69" customFormat="1" ht="12" customHeight="1" x14ac:dyDescent="0.3">
      <c r="A1184" s="57"/>
      <c r="B1184" s="51"/>
      <c r="C1184" s="51"/>
      <c r="D1184" s="51"/>
      <c r="E1184" s="51"/>
      <c r="F1184" s="51"/>
    </row>
    <row r="1185" spans="1:6" s="69" customFormat="1" ht="12" customHeight="1" x14ac:dyDescent="0.3">
      <c r="A1185" s="57"/>
      <c r="B1185" s="51"/>
      <c r="C1185" s="51"/>
      <c r="D1185" s="51"/>
      <c r="E1185" s="51"/>
      <c r="F1185" s="51"/>
    </row>
    <row r="1186" spans="1:6" s="69" customFormat="1" ht="12" customHeight="1" x14ac:dyDescent="0.3">
      <c r="A1186" s="57"/>
      <c r="B1186" s="51"/>
      <c r="C1186" s="51"/>
      <c r="D1186" s="51"/>
      <c r="E1186" s="51"/>
      <c r="F1186" s="51"/>
    </row>
    <row r="1187" spans="1:6" s="69" customFormat="1" ht="12" customHeight="1" x14ac:dyDescent="0.3">
      <c r="A1187" s="57"/>
      <c r="B1187" s="51"/>
      <c r="C1187" s="51"/>
      <c r="D1187" s="51"/>
      <c r="E1187" s="51"/>
      <c r="F1187" s="51"/>
    </row>
    <row r="1188" spans="1:6" s="69" customFormat="1" ht="12" customHeight="1" x14ac:dyDescent="0.3">
      <c r="A1188" s="57"/>
      <c r="B1188" s="51"/>
      <c r="C1188" s="51"/>
      <c r="D1188" s="51"/>
      <c r="E1188" s="51"/>
      <c r="F1188" s="51"/>
    </row>
    <row r="1189" spans="1:6" s="69" customFormat="1" ht="12" customHeight="1" x14ac:dyDescent="0.3">
      <c r="A1189" s="57"/>
      <c r="B1189" s="51"/>
      <c r="C1189" s="51"/>
      <c r="D1189" s="51"/>
      <c r="E1189" s="51"/>
      <c r="F1189" s="51"/>
    </row>
    <row r="1190" spans="1:6" s="69" customFormat="1" ht="12" customHeight="1" x14ac:dyDescent="0.3">
      <c r="A1190" s="57"/>
      <c r="B1190" s="51"/>
      <c r="C1190" s="51"/>
      <c r="D1190" s="51"/>
      <c r="E1190" s="51"/>
      <c r="F1190" s="51"/>
    </row>
    <row r="1191" spans="1:6" s="69" customFormat="1" ht="12" customHeight="1" x14ac:dyDescent="0.3">
      <c r="A1191" s="57"/>
      <c r="B1191" s="51"/>
      <c r="C1191" s="51"/>
      <c r="D1191" s="51"/>
      <c r="E1191" s="51"/>
      <c r="F1191" s="51"/>
    </row>
    <row r="1192" spans="1:6" s="69" customFormat="1" ht="12" customHeight="1" x14ac:dyDescent="0.3">
      <c r="A1192" s="57"/>
      <c r="B1192" s="51"/>
      <c r="C1192" s="51"/>
      <c r="D1192" s="51"/>
      <c r="E1192" s="51"/>
      <c r="F1192" s="51"/>
    </row>
    <row r="1193" spans="1:6" s="69" customFormat="1" ht="12" customHeight="1" x14ac:dyDescent="0.3">
      <c r="A1193" s="57"/>
      <c r="B1193" s="51"/>
      <c r="C1193" s="51"/>
      <c r="D1193" s="51"/>
      <c r="E1193" s="51"/>
      <c r="F1193" s="51"/>
    </row>
    <row r="1194" spans="1:6" s="69" customFormat="1" ht="12" customHeight="1" x14ac:dyDescent="0.3">
      <c r="A1194" s="57"/>
      <c r="B1194" s="51"/>
      <c r="C1194" s="51"/>
      <c r="D1194" s="51"/>
      <c r="E1194" s="51"/>
      <c r="F1194" s="51"/>
    </row>
    <row r="1195" spans="1:6" s="69" customFormat="1" ht="12" customHeight="1" x14ac:dyDescent="0.3">
      <c r="A1195" s="57"/>
      <c r="B1195" s="51"/>
      <c r="C1195" s="51"/>
      <c r="D1195" s="51"/>
      <c r="E1195" s="51"/>
      <c r="F1195" s="51"/>
    </row>
    <row r="1196" spans="1:6" s="69" customFormat="1" ht="12" customHeight="1" x14ac:dyDescent="0.3">
      <c r="A1196" s="57"/>
      <c r="B1196" s="51"/>
      <c r="C1196" s="51"/>
      <c r="D1196" s="51"/>
      <c r="E1196" s="51"/>
      <c r="F1196" s="51"/>
    </row>
    <row r="1197" spans="1:6" s="69" customFormat="1" ht="12" customHeight="1" x14ac:dyDescent="0.3">
      <c r="A1197" s="57"/>
      <c r="B1197" s="51"/>
      <c r="C1197" s="51"/>
      <c r="D1197" s="51"/>
      <c r="E1197" s="51"/>
      <c r="F1197" s="51"/>
    </row>
    <row r="1198" spans="1:6" s="69" customFormat="1" ht="12" customHeight="1" x14ac:dyDescent="0.3">
      <c r="A1198" s="57"/>
      <c r="B1198" s="51"/>
      <c r="C1198" s="51"/>
      <c r="D1198" s="51"/>
      <c r="E1198" s="51"/>
      <c r="F1198" s="51"/>
    </row>
    <row r="1199" spans="1:6" s="69" customFormat="1" ht="12" customHeight="1" x14ac:dyDescent="0.3">
      <c r="A1199" s="57"/>
      <c r="B1199" s="51"/>
      <c r="C1199" s="51"/>
      <c r="D1199" s="51"/>
      <c r="E1199" s="51"/>
      <c r="F1199" s="51"/>
    </row>
    <row r="1200" spans="1:6" s="69" customFormat="1" ht="12" customHeight="1" x14ac:dyDescent="0.3">
      <c r="A1200" s="57"/>
      <c r="B1200" s="51"/>
      <c r="C1200" s="51"/>
      <c r="D1200" s="51"/>
      <c r="E1200" s="51"/>
      <c r="F1200" s="51"/>
    </row>
    <row r="1201" spans="1:6" s="69" customFormat="1" ht="12" customHeight="1" x14ac:dyDescent="0.3">
      <c r="A1201" s="57"/>
      <c r="B1201" s="51"/>
      <c r="C1201" s="51"/>
      <c r="D1201" s="51"/>
      <c r="E1201" s="51"/>
      <c r="F1201" s="51"/>
    </row>
    <row r="1202" spans="1:6" s="69" customFormat="1" ht="12" customHeight="1" x14ac:dyDescent="0.3">
      <c r="A1202" s="57"/>
      <c r="B1202" s="51"/>
      <c r="C1202" s="51"/>
      <c r="D1202" s="51"/>
      <c r="E1202" s="51"/>
      <c r="F1202" s="51"/>
    </row>
    <row r="1203" spans="1:6" s="69" customFormat="1" ht="12" customHeight="1" x14ac:dyDescent="0.3">
      <c r="A1203" s="57"/>
      <c r="B1203" s="51"/>
      <c r="C1203" s="51"/>
      <c r="D1203" s="51"/>
      <c r="E1203" s="51"/>
      <c r="F1203" s="51"/>
    </row>
    <row r="1204" spans="1:6" s="69" customFormat="1" ht="12" customHeight="1" x14ac:dyDescent="0.3">
      <c r="A1204" s="57"/>
      <c r="B1204" s="51"/>
      <c r="C1204" s="51"/>
      <c r="D1204" s="51"/>
      <c r="E1204" s="51"/>
      <c r="F1204" s="51"/>
    </row>
    <row r="1205" spans="1:6" s="69" customFormat="1" ht="12" customHeight="1" x14ac:dyDescent="0.3">
      <c r="A1205" s="57"/>
      <c r="B1205" s="51"/>
      <c r="C1205" s="51"/>
      <c r="D1205" s="51"/>
      <c r="E1205" s="51"/>
      <c r="F1205" s="51"/>
    </row>
    <row r="1206" spans="1:6" s="69" customFormat="1" ht="12" customHeight="1" x14ac:dyDescent="0.3">
      <c r="A1206" s="57"/>
      <c r="B1206" s="51"/>
      <c r="C1206" s="51"/>
      <c r="D1206" s="51"/>
      <c r="E1206" s="51"/>
      <c r="F1206" s="51"/>
    </row>
    <row r="1207" spans="1:6" s="69" customFormat="1" ht="12" customHeight="1" x14ac:dyDescent="0.3">
      <c r="A1207" s="57"/>
      <c r="B1207" s="51"/>
      <c r="C1207" s="51"/>
      <c r="D1207" s="51"/>
      <c r="E1207" s="51"/>
      <c r="F1207" s="51"/>
    </row>
    <row r="1208" spans="1:6" s="69" customFormat="1" ht="12" customHeight="1" x14ac:dyDescent="0.3">
      <c r="A1208" s="57"/>
      <c r="B1208" s="51"/>
      <c r="C1208" s="51"/>
      <c r="D1208" s="51"/>
      <c r="E1208" s="51"/>
      <c r="F1208" s="51"/>
    </row>
    <row r="1209" spans="1:6" s="69" customFormat="1" ht="12" customHeight="1" x14ac:dyDescent="0.3">
      <c r="A1209" s="57"/>
      <c r="B1209" s="51"/>
      <c r="C1209" s="51"/>
      <c r="D1209" s="51"/>
      <c r="E1209" s="51"/>
      <c r="F1209" s="51"/>
    </row>
    <row r="1210" spans="1:6" s="69" customFormat="1" ht="12" customHeight="1" x14ac:dyDescent="0.3">
      <c r="A1210" s="57"/>
      <c r="B1210" s="51"/>
      <c r="C1210" s="51"/>
      <c r="D1210" s="51"/>
      <c r="E1210" s="51"/>
      <c r="F1210" s="51"/>
    </row>
    <row r="1211" spans="1:6" s="69" customFormat="1" ht="12" customHeight="1" x14ac:dyDescent="0.3">
      <c r="A1211" s="57"/>
      <c r="B1211" s="51"/>
      <c r="C1211" s="51"/>
      <c r="D1211" s="51"/>
      <c r="E1211" s="51"/>
      <c r="F1211" s="51"/>
    </row>
    <row r="1212" spans="1:6" s="69" customFormat="1" ht="12" customHeight="1" x14ac:dyDescent="0.3">
      <c r="A1212" s="57"/>
      <c r="B1212" s="51"/>
      <c r="C1212" s="51"/>
      <c r="D1212" s="51"/>
      <c r="E1212" s="51"/>
      <c r="F1212" s="51"/>
    </row>
    <row r="1213" spans="1:6" s="69" customFormat="1" ht="12" customHeight="1" x14ac:dyDescent="0.3">
      <c r="A1213" s="57"/>
      <c r="B1213" s="51"/>
      <c r="C1213" s="51"/>
      <c r="D1213" s="51"/>
      <c r="E1213" s="51"/>
      <c r="F1213" s="51"/>
    </row>
    <row r="1214" spans="1:6" s="69" customFormat="1" ht="12" customHeight="1" x14ac:dyDescent="0.3">
      <c r="A1214" s="57"/>
      <c r="B1214" s="51"/>
      <c r="C1214" s="51"/>
      <c r="D1214" s="51"/>
      <c r="E1214" s="51"/>
      <c r="F1214" s="51"/>
    </row>
    <row r="1215" spans="1:6" s="69" customFormat="1" ht="12" customHeight="1" x14ac:dyDescent="0.3">
      <c r="A1215" s="57"/>
      <c r="B1215" s="51"/>
      <c r="C1215" s="51"/>
      <c r="D1215" s="51"/>
      <c r="E1215" s="51"/>
      <c r="F1215" s="51"/>
    </row>
    <row r="1216" spans="1:6" s="69" customFormat="1" ht="12" customHeight="1" x14ac:dyDescent="0.3">
      <c r="A1216" s="57"/>
      <c r="B1216" s="51"/>
      <c r="C1216" s="51"/>
      <c r="D1216" s="51"/>
      <c r="E1216" s="51"/>
      <c r="F1216" s="51"/>
    </row>
    <row r="1217" spans="1:6" s="69" customFormat="1" ht="12" customHeight="1" x14ac:dyDescent="0.3">
      <c r="A1217" s="57"/>
      <c r="B1217" s="51"/>
      <c r="C1217" s="51"/>
      <c r="D1217" s="51"/>
      <c r="E1217" s="51"/>
      <c r="F1217" s="51"/>
    </row>
    <row r="1218" spans="1:6" s="69" customFormat="1" ht="12" customHeight="1" x14ac:dyDescent="0.3">
      <c r="A1218" s="57"/>
      <c r="B1218" s="51"/>
      <c r="C1218" s="51"/>
      <c r="D1218" s="51"/>
      <c r="E1218" s="51"/>
      <c r="F1218" s="51"/>
    </row>
    <row r="1219" spans="1:6" s="69" customFormat="1" ht="12" customHeight="1" x14ac:dyDescent="0.3">
      <c r="A1219" s="57"/>
      <c r="B1219" s="51"/>
      <c r="C1219" s="51"/>
      <c r="D1219" s="51"/>
      <c r="E1219" s="51"/>
      <c r="F1219" s="51"/>
    </row>
    <row r="1220" spans="1:6" s="69" customFormat="1" ht="12" customHeight="1" x14ac:dyDescent="0.3">
      <c r="A1220" s="57"/>
      <c r="B1220" s="51"/>
      <c r="C1220" s="51"/>
      <c r="D1220" s="51"/>
      <c r="E1220" s="51"/>
      <c r="F1220" s="51"/>
    </row>
    <row r="1221" spans="1:6" s="69" customFormat="1" ht="12" customHeight="1" x14ac:dyDescent="0.3">
      <c r="A1221" s="57"/>
      <c r="B1221" s="51"/>
      <c r="C1221" s="51"/>
      <c r="D1221" s="51"/>
      <c r="E1221" s="51"/>
      <c r="F1221" s="51"/>
    </row>
    <row r="1222" spans="1:6" s="69" customFormat="1" ht="12" customHeight="1" x14ac:dyDescent="0.3">
      <c r="A1222" s="57"/>
      <c r="B1222" s="51"/>
      <c r="C1222" s="51"/>
      <c r="D1222" s="51"/>
      <c r="E1222" s="51"/>
      <c r="F1222" s="51"/>
    </row>
    <row r="1223" spans="1:6" s="69" customFormat="1" ht="12" customHeight="1" x14ac:dyDescent="0.3">
      <c r="A1223" s="57"/>
      <c r="B1223" s="51"/>
      <c r="C1223" s="51"/>
      <c r="D1223" s="51"/>
      <c r="E1223" s="51"/>
      <c r="F1223" s="51"/>
    </row>
    <row r="1224" spans="1:6" s="69" customFormat="1" ht="12" customHeight="1" x14ac:dyDescent="0.3">
      <c r="A1224" s="57"/>
      <c r="B1224" s="51"/>
      <c r="C1224" s="51"/>
      <c r="D1224" s="51"/>
      <c r="E1224" s="51"/>
      <c r="F1224" s="51"/>
    </row>
    <row r="1225" spans="1:6" s="69" customFormat="1" ht="12" customHeight="1" x14ac:dyDescent="0.3">
      <c r="A1225" s="57"/>
      <c r="B1225" s="51"/>
      <c r="C1225" s="51"/>
      <c r="D1225" s="51"/>
      <c r="E1225" s="51"/>
      <c r="F1225" s="51"/>
    </row>
    <row r="1226" spans="1:6" s="69" customFormat="1" ht="12" customHeight="1" x14ac:dyDescent="0.3">
      <c r="A1226" s="57"/>
      <c r="B1226" s="51"/>
      <c r="C1226" s="51"/>
      <c r="D1226" s="51"/>
      <c r="E1226" s="51"/>
      <c r="F1226" s="51"/>
    </row>
    <row r="1227" spans="1:6" s="69" customFormat="1" ht="12" customHeight="1" x14ac:dyDescent="0.3">
      <c r="A1227" s="57"/>
      <c r="B1227" s="51"/>
      <c r="C1227" s="51"/>
      <c r="D1227" s="51"/>
      <c r="E1227" s="51"/>
      <c r="F1227" s="51"/>
    </row>
    <row r="1228" spans="1:6" s="69" customFormat="1" ht="12" customHeight="1" x14ac:dyDescent="0.3">
      <c r="A1228" s="57"/>
      <c r="B1228" s="51"/>
      <c r="C1228" s="51"/>
      <c r="D1228" s="51"/>
      <c r="E1228" s="51"/>
      <c r="F1228" s="51"/>
    </row>
    <row r="1229" spans="1:6" s="69" customFormat="1" ht="12" customHeight="1" x14ac:dyDescent="0.3">
      <c r="A1229" s="57"/>
      <c r="B1229" s="51"/>
      <c r="C1229" s="51"/>
      <c r="D1229" s="51"/>
      <c r="E1229" s="51"/>
      <c r="F1229" s="51"/>
    </row>
    <row r="1230" spans="1:6" s="69" customFormat="1" ht="12" customHeight="1" x14ac:dyDescent="0.3">
      <c r="A1230" s="57"/>
      <c r="B1230" s="51"/>
      <c r="C1230" s="51"/>
      <c r="D1230" s="51"/>
      <c r="E1230" s="51"/>
      <c r="F1230" s="51"/>
    </row>
    <row r="1231" spans="1:6" s="69" customFormat="1" ht="12" customHeight="1" x14ac:dyDescent="0.3">
      <c r="A1231" s="57"/>
      <c r="B1231" s="51"/>
      <c r="C1231" s="51"/>
      <c r="D1231" s="51"/>
      <c r="E1231" s="51"/>
      <c r="F1231" s="51"/>
    </row>
    <row r="1232" spans="1:6" s="69" customFormat="1" ht="12" customHeight="1" x14ac:dyDescent="0.3">
      <c r="A1232" s="57"/>
      <c r="B1232" s="51"/>
      <c r="C1232" s="51"/>
      <c r="D1232" s="51"/>
      <c r="E1232" s="51"/>
      <c r="F1232" s="51"/>
    </row>
    <row r="1233" spans="1:6" s="69" customFormat="1" ht="12" customHeight="1" x14ac:dyDescent="0.3">
      <c r="A1233" s="57"/>
      <c r="B1233" s="51"/>
      <c r="C1233" s="51"/>
      <c r="D1233" s="51"/>
      <c r="E1233" s="51"/>
      <c r="F1233" s="51"/>
    </row>
    <row r="1234" spans="1:6" s="69" customFormat="1" ht="12" customHeight="1" x14ac:dyDescent="0.3">
      <c r="A1234" s="57"/>
      <c r="B1234" s="51"/>
      <c r="C1234" s="51"/>
      <c r="D1234" s="51"/>
      <c r="E1234" s="51"/>
      <c r="F1234" s="51"/>
    </row>
    <row r="1235" spans="1:6" s="69" customFormat="1" ht="12" customHeight="1" x14ac:dyDescent="0.3">
      <c r="A1235" s="57"/>
      <c r="B1235" s="51"/>
      <c r="C1235" s="51"/>
      <c r="D1235" s="51"/>
      <c r="E1235" s="51"/>
      <c r="F1235" s="51"/>
    </row>
    <row r="1236" spans="1:6" s="69" customFormat="1" ht="12" customHeight="1" x14ac:dyDescent="0.3">
      <c r="A1236" s="57"/>
      <c r="B1236" s="51"/>
      <c r="C1236" s="51"/>
      <c r="D1236" s="51"/>
      <c r="E1236" s="51"/>
      <c r="F1236" s="51"/>
    </row>
    <row r="1237" spans="1:6" s="69" customFormat="1" ht="12" customHeight="1" x14ac:dyDescent="0.3">
      <c r="A1237" s="57"/>
      <c r="B1237" s="51"/>
      <c r="C1237" s="51"/>
      <c r="D1237" s="51"/>
      <c r="E1237" s="51"/>
      <c r="F1237" s="51"/>
    </row>
    <row r="1238" spans="1:6" s="69" customFormat="1" ht="12" customHeight="1" x14ac:dyDescent="0.3">
      <c r="A1238" s="57"/>
      <c r="B1238" s="51"/>
      <c r="C1238" s="51"/>
      <c r="D1238" s="51"/>
      <c r="E1238" s="51"/>
      <c r="F1238" s="51"/>
    </row>
    <row r="1239" spans="1:6" s="69" customFormat="1" ht="12" customHeight="1" x14ac:dyDescent="0.3">
      <c r="A1239" s="57"/>
      <c r="B1239" s="51"/>
      <c r="C1239" s="51"/>
      <c r="D1239" s="51"/>
      <c r="E1239" s="51"/>
      <c r="F1239" s="51"/>
    </row>
    <row r="1240" spans="1:6" s="69" customFormat="1" ht="12" customHeight="1" x14ac:dyDescent="0.3">
      <c r="A1240" s="57"/>
      <c r="B1240" s="51"/>
      <c r="C1240" s="51"/>
      <c r="D1240" s="51"/>
      <c r="E1240" s="51"/>
      <c r="F1240" s="51"/>
    </row>
    <row r="1241" spans="1:6" s="69" customFormat="1" ht="12" customHeight="1" x14ac:dyDescent="0.3">
      <c r="A1241" s="57"/>
      <c r="B1241" s="51"/>
      <c r="C1241" s="51"/>
      <c r="D1241" s="51"/>
      <c r="E1241" s="51"/>
      <c r="F1241" s="51"/>
    </row>
    <row r="1242" spans="1:6" s="69" customFormat="1" ht="12" customHeight="1" x14ac:dyDescent="0.3">
      <c r="A1242" s="57"/>
      <c r="B1242" s="51"/>
      <c r="C1242" s="51"/>
      <c r="D1242" s="51"/>
      <c r="E1242" s="51"/>
      <c r="F1242" s="51"/>
    </row>
    <row r="1243" spans="1:6" s="69" customFormat="1" ht="12" customHeight="1" x14ac:dyDescent="0.3">
      <c r="A1243" s="57"/>
      <c r="B1243" s="51"/>
      <c r="C1243" s="51"/>
      <c r="D1243" s="51"/>
      <c r="E1243" s="51"/>
      <c r="F1243" s="51"/>
    </row>
    <row r="1244" spans="1:6" s="69" customFormat="1" ht="12" customHeight="1" x14ac:dyDescent="0.3">
      <c r="A1244" s="57"/>
      <c r="B1244" s="51"/>
      <c r="C1244" s="51"/>
      <c r="D1244" s="51"/>
      <c r="E1244" s="51"/>
      <c r="F1244" s="51"/>
    </row>
    <row r="1245" spans="1:6" s="69" customFormat="1" ht="12" customHeight="1" x14ac:dyDescent="0.3">
      <c r="A1245" s="57"/>
      <c r="B1245" s="51"/>
      <c r="C1245" s="51"/>
      <c r="D1245" s="51"/>
      <c r="E1245" s="51"/>
      <c r="F1245" s="51"/>
    </row>
    <row r="1246" spans="1:6" s="69" customFormat="1" ht="12" customHeight="1" x14ac:dyDescent="0.3">
      <c r="A1246" s="57"/>
      <c r="B1246" s="51"/>
      <c r="C1246" s="51"/>
      <c r="D1246" s="51"/>
      <c r="E1246" s="51"/>
      <c r="F1246" s="51"/>
    </row>
    <row r="1247" spans="1:6" s="69" customFormat="1" ht="12" customHeight="1" x14ac:dyDescent="0.3">
      <c r="A1247" s="57"/>
      <c r="B1247" s="51"/>
      <c r="C1247" s="51"/>
      <c r="D1247" s="51"/>
      <c r="E1247" s="51"/>
      <c r="F1247" s="51"/>
    </row>
    <row r="1248" spans="1:6" s="69" customFormat="1" ht="12" customHeight="1" x14ac:dyDescent="0.3">
      <c r="A1248" s="57"/>
      <c r="B1248" s="51"/>
      <c r="C1248" s="51"/>
      <c r="D1248" s="51"/>
      <c r="E1248" s="51"/>
      <c r="F1248" s="51"/>
    </row>
    <row r="1249" spans="1:6" s="69" customFormat="1" ht="12" customHeight="1" x14ac:dyDescent="0.3">
      <c r="A1249" s="57"/>
      <c r="B1249" s="51"/>
      <c r="C1249" s="51"/>
      <c r="D1249" s="51"/>
      <c r="E1249" s="51"/>
      <c r="F1249" s="51"/>
    </row>
    <row r="1250" spans="1:6" s="69" customFormat="1" ht="12" customHeight="1" x14ac:dyDescent="0.3">
      <c r="A1250" s="57"/>
      <c r="B1250" s="51"/>
      <c r="C1250" s="51"/>
      <c r="D1250" s="51"/>
      <c r="E1250" s="51"/>
      <c r="F1250" s="51"/>
    </row>
    <row r="1251" spans="1:6" s="69" customFormat="1" ht="12" customHeight="1" x14ac:dyDescent="0.3">
      <c r="A1251" s="57"/>
      <c r="B1251" s="51"/>
      <c r="C1251" s="51"/>
      <c r="D1251" s="51"/>
      <c r="E1251" s="51"/>
      <c r="F1251" s="51"/>
    </row>
    <row r="1252" spans="1:6" s="69" customFormat="1" ht="12" customHeight="1" x14ac:dyDescent="0.3">
      <c r="A1252" s="57"/>
      <c r="B1252" s="51"/>
      <c r="C1252" s="51"/>
      <c r="D1252" s="51"/>
      <c r="E1252" s="51"/>
      <c r="F1252" s="51"/>
    </row>
    <row r="1253" spans="1:6" s="69" customFormat="1" ht="12" customHeight="1" x14ac:dyDescent="0.3">
      <c r="A1253" s="57"/>
      <c r="B1253" s="51"/>
      <c r="C1253" s="51"/>
      <c r="D1253" s="51"/>
      <c r="E1253" s="51"/>
      <c r="F1253" s="51"/>
    </row>
    <row r="1254" spans="1:6" s="69" customFormat="1" ht="12" customHeight="1" x14ac:dyDescent="0.3">
      <c r="A1254" s="57"/>
      <c r="B1254" s="51"/>
      <c r="C1254" s="51"/>
      <c r="D1254" s="51"/>
      <c r="E1254" s="51"/>
      <c r="F1254" s="51"/>
    </row>
    <row r="1255" spans="1:6" s="69" customFormat="1" ht="12" customHeight="1" x14ac:dyDescent="0.3">
      <c r="A1255" s="57"/>
      <c r="B1255" s="51"/>
      <c r="C1255" s="51"/>
      <c r="D1255" s="51"/>
      <c r="E1255" s="51"/>
      <c r="F1255" s="51"/>
    </row>
    <row r="1256" spans="1:6" s="69" customFormat="1" ht="12" customHeight="1" x14ac:dyDescent="0.3">
      <c r="A1256" s="57"/>
      <c r="B1256" s="51"/>
      <c r="C1256" s="51"/>
      <c r="D1256" s="51"/>
      <c r="E1256" s="51"/>
      <c r="F1256" s="51"/>
    </row>
    <row r="1257" spans="1:6" s="69" customFormat="1" ht="12" customHeight="1" x14ac:dyDescent="0.3">
      <c r="A1257" s="57"/>
      <c r="B1257" s="51"/>
      <c r="C1257" s="51"/>
      <c r="D1257" s="51"/>
      <c r="E1257" s="51"/>
      <c r="F1257" s="51"/>
    </row>
    <row r="1258" spans="1:6" s="69" customFormat="1" ht="12" customHeight="1" x14ac:dyDescent="0.3">
      <c r="A1258" s="57"/>
      <c r="B1258" s="51"/>
      <c r="C1258" s="51"/>
      <c r="D1258" s="51"/>
      <c r="E1258" s="51"/>
      <c r="F1258" s="51"/>
    </row>
    <row r="1259" spans="1:6" s="69" customFormat="1" ht="12" customHeight="1" x14ac:dyDescent="0.3">
      <c r="A1259" s="57"/>
      <c r="B1259" s="51"/>
      <c r="C1259" s="51"/>
      <c r="D1259" s="51"/>
      <c r="E1259" s="51"/>
      <c r="F1259" s="51"/>
    </row>
    <row r="1260" spans="1:6" s="69" customFormat="1" ht="12" customHeight="1" x14ac:dyDescent="0.3">
      <c r="A1260" s="57"/>
      <c r="B1260" s="51"/>
      <c r="C1260" s="51"/>
      <c r="D1260" s="51"/>
      <c r="E1260" s="51"/>
      <c r="F1260" s="51"/>
    </row>
    <row r="1261" spans="1:6" s="69" customFormat="1" ht="12" customHeight="1" x14ac:dyDescent="0.3">
      <c r="A1261" s="57"/>
      <c r="B1261" s="51"/>
      <c r="C1261" s="51"/>
      <c r="D1261" s="51"/>
      <c r="E1261" s="51"/>
      <c r="F1261" s="51"/>
    </row>
    <row r="1262" spans="1:6" s="69" customFormat="1" ht="12" customHeight="1" x14ac:dyDescent="0.3">
      <c r="A1262" s="57"/>
      <c r="B1262" s="51"/>
      <c r="C1262" s="51"/>
      <c r="D1262" s="51"/>
      <c r="E1262" s="51"/>
      <c r="F1262" s="51"/>
    </row>
    <row r="1263" spans="1:6" s="69" customFormat="1" ht="12" customHeight="1" x14ac:dyDescent="0.3">
      <c r="A1263" s="57"/>
      <c r="B1263" s="51"/>
      <c r="C1263" s="51"/>
      <c r="D1263" s="51"/>
      <c r="E1263" s="51"/>
      <c r="F1263" s="51"/>
    </row>
    <row r="1264" spans="1:6" s="69" customFormat="1" ht="12" customHeight="1" x14ac:dyDescent="0.3">
      <c r="A1264" s="57"/>
      <c r="B1264" s="51"/>
      <c r="C1264" s="51"/>
      <c r="D1264" s="51"/>
      <c r="E1264" s="51"/>
      <c r="F1264" s="51"/>
    </row>
    <row r="1265" spans="1:6" s="69" customFormat="1" ht="12" customHeight="1" x14ac:dyDescent="0.3">
      <c r="A1265" s="57"/>
      <c r="B1265" s="51"/>
      <c r="C1265" s="51"/>
      <c r="D1265" s="51"/>
      <c r="E1265" s="51"/>
      <c r="F1265" s="51"/>
    </row>
    <row r="1266" spans="1:6" s="69" customFormat="1" ht="12" customHeight="1" x14ac:dyDescent="0.3">
      <c r="A1266" s="57"/>
      <c r="B1266" s="51"/>
      <c r="C1266" s="51"/>
      <c r="D1266" s="51"/>
      <c r="E1266" s="51"/>
      <c r="F1266" s="51"/>
    </row>
    <row r="1267" spans="1:6" s="69" customFormat="1" ht="12" customHeight="1" x14ac:dyDescent="0.3">
      <c r="A1267" s="57"/>
      <c r="B1267" s="51"/>
      <c r="C1267" s="51"/>
      <c r="D1267" s="51"/>
      <c r="E1267" s="51"/>
      <c r="F1267" s="51"/>
    </row>
    <row r="1268" spans="1:6" s="69" customFormat="1" ht="12" customHeight="1" x14ac:dyDescent="0.3">
      <c r="A1268" s="57"/>
      <c r="B1268" s="51"/>
      <c r="C1268" s="51"/>
      <c r="D1268" s="51"/>
      <c r="E1268" s="51"/>
      <c r="F1268" s="51"/>
    </row>
    <row r="1269" spans="1:6" s="69" customFormat="1" ht="12" customHeight="1" x14ac:dyDescent="0.3">
      <c r="A1269" s="57"/>
      <c r="B1269" s="51"/>
      <c r="C1269" s="51"/>
      <c r="D1269" s="51"/>
      <c r="E1269" s="51"/>
      <c r="F1269" s="51"/>
    </row>
    <row r="1270" spans="1:6" s="69" customFormat="1" ht="12" customHeight="1" x14ac:dyDescent="0.3">
      <c r="A1270" s="57"/>
      <c r="B1270" s="51"/>
      <c r="C1270" s="51"/>
      <c r="D1270" s="51"/>
      <c r="E1270" s="51"/>
      <c r="F1270" s="51"/>
    </row>
    <row r="1271" spans="1:6" s="69" customFormat="1" ht="12" customHeight="1" x14ac:dyDescent="0.3">
      <c r="A1271" s="57"/>
      <c r="B1271" s="51"/>
      <c r="C1271" s="51"/>
      <c r="D1271" s="51"/>
      <c r="E1271" s="51"/>
      <c r="F1271" s="51"/>
    </row>
    <row r="1272" spans="1:6" s="69" customFormat="1" ht="12" customHeight="1" x14ac:dyDescent="0.3">
      <c r="A1272" s="57"/>
      <c r="B1272" s="51"/>
      <c r="C1272" s="51"/>
      <c r="D1272" s="51"/>
      <c r="E1272" s="51"/>
      <c r="F1272" s="51"/>
    </row>
    <row r="1273" spans="1:6" s="69" customFormat="1" ht="12" customHeight="1" x14ac:dyDescent="0.3">
      <c r="A1273" s="57"/>
      <c r="B1273" s="51"/>
      <c r="C1273" s="51"/>
      <c r="D1273" s="51"/>
      <c r="E1273" s="51"/>
      <c r="F1273" s="51"/>
    </row>
    <row r="1274" spans="1:6" s="69" customFormat="1" ht="12" customHeight="1" x14ac:dyDescent="0.3">
      <c r="A1274" s="57"/>
      <c r="B1274" s="51"/>
      <c r="C1274" s="51"/>
      <c r="D1274" s="51"/>
      <c r="E1274" s="51"/>
      <c r="F1274" s="51"/>
    </row>
    <row r="1275" spans="1:6" s="69" customFormat="1" ht="12" customHeight="1" x14ac:dyDescent="0.3">
      <c r="A1275" s="57"/>
      <c r="B1275" s="51"/>
      <c r="C1275" s="51"/>
      <c r="D1275" s="51"/>
      <c r="E1275" s="51"/>
      <c r="F1275" s="51"/>
    </row>
    <row r="1276" spans="1:6" s="69" customFormat="1" ht="12" customHeight="1" x14ac:dyDescent="0.3">
      <c r="A1276" s="57"/>
      <c r="B1276" s="51"/>
      <c r="C1276" s="51"/>
      <c r="D1276" s="51"/>
      <c r="E1276" s="51"/>
      <c r="F1276" s="51"/>
    </row>
    <row r="1277" spans="1:6" s="69" customFormat="1" ht="12" customHeight="1" x14ac:dyDescent="0.3">
      <c r="A1277" s="57"/>
      <c r="B1277" s="51"/>
      <c r="C1277" s="51"/>
      <c r="D1277" s="51"/>
      <c r="E1277" s="51"/>
      <c r="F1277" s="51"/>
    </row>
    <row r="1278" spans="1:6" s="69" customFormat="1" ht="12" customHeight="1" x14ac:dyDescent="0.3">
      <c r="A1278" s="57"/>
      <c r="B1278" s="51"/>
      <c r="C1278" s="51"/>
      <c r="D1278" s="51"/>
      <c r="E1278" s="51"/>
      <c r="F1278" s="51"/>
    </row>
    <row r="1279" spans="1:6" s="69" customFormat="1" ht="12" customHeight="1" x14ac:dyDescent="0.3">
      <c r="A1279" s="57"/>
      <c r="B1279" s="51"/>
      <c r="C1279" s="51"/>
      <c r="D1279" s="51"/>
      <c r="E1279" s="51"/>
      <c r="F1279" s="51"/>
    </row>
    <row r="1280" spans="1:6" s="69" customFormat="1" ht="12" customHeight="1" x14ac:dyDescent="0.3">
      <c r="A1280" s="57"/>
      <c r="B1280" s="51"/>
      <c r="C1280" s="51"/>
      <c r="D1280" s="51"/>
      <c r="E1280" s="51"/>
      <c r="F1280" s="51"/>
    </row>
    <row r="1281" spans="1:6" s="69" customFormat="1" ht="12" customHeight="1" x14ac:dyDescent="0.3">
      <c r="A1281" s="57"/>
      <c r="B1281" s="51"/>
      <c r="C1281" s="51"/>
      <c r="D1281" s="51"/>
      <c r="E1281" s="51"/>
      <c r="F1281" s="51"/>
    </row>
    <row r="1282" spans="1:6" s="69" customFormat="1" ht="12" customHeight="1" x14ac:dyDescent="0.3">
      <c r="A1282" s="57"/>
      <c r="B1282" s="51"/>
      <c r="C1282" s="51"/>
      <c r="D1282" s="51"/>
      <c r="E1282" s="51"/>
      <c r="F1282" s="51"/>
    </row>
    <row r="1283" spans="1:6" s="69" customFormat="1" ht="12" customHeight="1" x14ac:dyDescent="0.3">
      <c r="A1283" s="57"/>
      <c r="B1283" s="51"/>
      <c r="C1283" s="51"/>
      <c r="D1283" s="51"/>
      <c r="E1283" s="51"/>
      <c r="F1283" s="51"/>
    </row>
    <row r="1284" spans="1:6" s="69" customFormat="1" ht="12" customHeight="1" x14ac:dyDescent="0.3">
      <c r="A1284" s="57"/>
      <c r="B1284" s="51"/>
      <c r="C1284" s="51"/>
      <c r="D1284" s="51"/>
      <c r="E1284" s="51"/>
      <c r="F1284" s="51"/>
    </row>
    <row r="1285" spans="1:6" s="69" customFormat="1" ht="12" customHeight="1" x14ac:dyDescent="0.3">
      <c r="A1285" s="57"/>
      <c r="B1285" s="51"/>
      <c r="C1285" s="51"/>
      <c r="D1285" s="51"/>
      <c r="E1285" s="51"/>
      <c r="F1285" s="51"/>
    </row>
    <row r="1286" spans="1:6" s="69" customFormat="1" ht="12" customHeight="1" x14ac:dyDescent="0.3">
      <c r="A1286" s="57"/>
      <c r="B1286" s="51"/>
      <c r="C1286" s="51"/>
      <c r="D1286" s="51"/>
      <c r="E1286" s="51"/>
      <c r="F1286" s="51"/>
    </row>
    <row r="1287" spans="1:6" s="69" customFormat="1" ht="12" customHeight="1" x14ac:dyDescent="0.3">
      <c r="A1287" s="57"/>
      <c r="B1287" s="51"/>
      <c r="C1287" s="51"/>
      <c r="D1287" s="51"/>
      <c r="E1287" s="51"/>
      <c r="F1287" s="51"/>
    </row>
    <row r="1288" spans="1:6" s="69" customFormat="1" ht="12" customHeight="1" x14ac:dyDescent="0.3">
      <c r="A1288" s="57"/>
      <c r="B1288" s="51"/>
      <c r="C1288" s="51"/>
      <c r="D1288" s="51"/>
      <c r="E1288" s="51"/>
      <c r="F1288" s="51"/>
    </row>
    <row r="1289" spans="1:6" s="69" customFormat="1" ht="12" customHeight="1" x14ac:dyDescent="0.3">
      <c r="A1289" s="57"/>
      <c r="B1289" s="51"/>
      <c r="C1289" s="51"/>
      <c r="D1289" s="51"/>
      <c r="E1289" s="51"/>
      <c r="F1289" s="51"/>
    </row>
    <row r="1290" spans="1:6" s="69" customFormat="1" ht="12" customHeight="1" x14ac:dyDescent="0.3">
      <c r="A1290" s="57"/>
      <c r="B1290" s="51"/>
      <c r="C1290" s="51"/>
      <c r="D1290" s="51"/>
      <c r="E1290" s="51"/>
      <c r="F1290" s="51"/>
    </row>
    <row r="1291" spans="1:6" s="69" customFormat="1" ht="12" customHeight="1" x14ac:dyDescent="0.3">
      <c r="A1291" s="57"/>
      <c r="B1291" s="51"/>
      <c r="C1291" s="51"/>
      <c r="D1291" s="51"/>
      <c r="E1291" s="51"/>
      <c r="F1291" s="51"/>
    </row>
    <row r="1292" spans="1:6" s="69" customFormat="1" ht="12" customHeight="1" x14ac:dyDescent="0.3">
      <c r="A1292" s="57"/>
      <c r="B1292" s="51"/>
      <c r="C1292" s="51"/>
      <c r="D1292" s="51"/>
      <c r="E1292" s="51"/>
      <c r="F1292" s="51"/>
    </row>
    <row r="1293" spans="1:6" s="69" customFormat="1" ht="12" customHeight="1" x14ac:dyDescent="0.3">
      <c r="A1293" s="57"/>
      <c r="B1293" s="51"/>
      <c r="C1293" s="51"/>
      <c r="D1293" s="51"/>
      <c r="E1293" s="51"/>
      <c r="F1293" s="51"/>
    </row>
    <row r="1294" spans="1:6" s="69" customFormat="1" ht="12" customHeight="1" x14ac:dyDescent="0.3">
      <c r="A1294" s="57"/>
      <c r="B1294" s="51"/>
      <c r="C1294" s="51"/>
      <c r="D1294" s="51"/>
      <c r="E1294" s="51"/>
      <c r="F1294" s="51"/>
    </row>
    <row r="1295" spans="1:6" s="69" customFormat="1" ht="12" customHeight="1" x14ac:dyDescent="0.3">
      <c r="A1295" s="57"/>
      <c r="B1295" s="51"/>
      <c r="C1295" s="51"/>
      <c r="D1295" s="51"/>
      <c r="E1295" s="51"/>
      <c r="F1295" s="51"/>
    </row>
    <row r="1296" spans="1:6" s="69" customFormat="1" ht="12" customHeight="1" x14ac:dyDescent="0.3">
      <c r="A1296" s="57"/>
      <c r="B1296" s="51"/>
      <c r="C1296" s="51"/>
      <c r="D1296" s="51"/>
      <c r="E1296" s="51"/>
      <c r="F1296" s="51"/>
    </row>
    <row r="1297" spans="1:6" s="69" customFormat="1" ht="12" customHeight="1" x14ac:dyDescent="0.3">
      <c r="A1297" s="57"/>
      <c r="B1297" s="51"/>
      <c r="C1297" s="51"/>
      <c r="D1297" s="51"/>
      <c r="E1297" s="51"/>
      <c r="F1297" s="51"/>
    </row>
    <row r="1298" spans="1:6" s="69" customFormat="1" ht="12" customHeight="1" x14ac:dyDescent="0.3">
      <c r="A1298" s="57"/>
      <c r="B1298" s="51"/>
      <c r="C1298" s="51"/>
      <c r="D1298" s="51"/>
      <c r="E1298" s="51"/>
      <c r="F1298" s="51"/>
    </row>
    <row r="1299" spans="1:6" s="69" customFormat="1" ht="12" customHeight="1" x14ac:dyDescent="0.3">
      <c r="A1299" s="57"/>
      <c r="B1299" s="51"/>
      <c r="C1299" s="51"/>
      <c r="D1299" s="51"/>
      <c r="E1299" s="51"/>
      <c r="F1299" s="51"/>
    </row>
    <row r="1300" spans="1:6" s="69" customFormat="1" ht="12" customHeight="1" x14ac:dyDescent="0.3">
      <c r="A1300" s="57"/>
      <c r="B1300" s="51"/>
      <c r="C1300" s="51"/>
      <c r="D1300" s="51"/>
      <c r="E1300" s="51"/>
      <c r="F1300" s="51"/>
    </row>
    <row r="1301" spans="1:6" s="69" customFormat="1" ht="12" customHeight="1" x14ac:dyDescent="0.3">
      <c r="A1301" s="57"/>
      <c r="B1301" s="51"/>
      <c r="C1301" s="51"/>
      <c r="D1301" s="51"/>
      <c r="E1301" s="51"/>
      <c r="F1301" s="51"/>
    </row>
    <row r="1302" spans="1:6" s="69" customFormat="1" ht="12" customHeight="1" x14ac:dyDescent="0.3">
      <c r="A1302" s="57"/>
      <c r="B1302" s="51"/>
      <c r="C1302" s="51"/>
      <c r="D1302" s="51"/>
      <c r="E1302" s="51"/>
      <c r="F1302" s="51"/>
    </row>
    <row r="1303" spans="1:6" s="69" customFormat="1" ht="12" customHeight="1" x14ac:dyDescent="0.3">
      <c r="A1303" s="57"/>
      <c r="B1303" s="51"/>
      <c r="C1303" s="51"/>
      <c r="D1303" s="51"/>
      <c r="E1303" s="51"/>
      <c r="F1303" s="51"/>
    </row>
    <row r="1304" spans="1:6" s="69" customFormat="1" ht="12" customHeight="1" x14ac:dyDescent="0.3">
      <c r="A1304" s="57"/>
      <c r="B1304" s="51"/>
      <c r="C1304" s="51"/>
      <c r="D1304" s="51"/>
      <c r="E1304" s="51"/>
      <c r="F1304" s="51"/>
    </row>
    <row r="1305" spans="1:6" s="69" customFormat="1" ht="12" customHeight="1" x14ac:dyDescent="0.3">
      <c r="A1305" s="57"/>
      <c r="B1305" s="51"/>
      <c r="C1305" s="51"/>
      <c r="D1305" s="51"/>
      <c r="E1305" s="51"/>
      <c r="F1305" s="51"/>
    </row>
    <row r="1306" spans="1:6" s="69" customFormat="1" ht="12" customHeight="1" x14ac:dyDescent="0.3">
      <c r="A1306" s="57"/>
      <c r="B1306" s="51"/>
      <c r="C1306" s="51"/>
      <c r="D1306" s="51"/>
      <c r="E1306" s="51"/>
      <c r="F1306" s="51"/>
    </row>
    <row r="1307" spans="1:6" s="69" customFormat="1" ht="12" customHeight="1" x14ac:dyDescent="0.3">
      <c r="A1307" s="57"/>
      <c r="B1307" s="51"/>
      <c r="C1307" s="51"/>
      <c r="D1307" s="51"/>
      <c r="E1307" s="51"/>
      <c r="F1307" s="51"/>
    </row>
    <row r="1308" spans="1:6" s="69" customFormat="1" ht="12" customHeight="1" x14ac:dyDescent="0.3">
      <c r="A1308" s="57"/>
      <c r="B1308" s="51"/>
      <c r="C1308" s="51"/>
      <c r="D1308" s="51"/>
      <c r="E1308" s="51"/>
      <c r="F1308" s="51"/>
    </row>
    <row r="1309" spans="1:6" s="69" customFormat="1" ht="12" customHeight="1" x14ac:dyDescent="0.3">
      <c r="A1309" s="57"/>
      <c r="B1309" s="51"/>
      <c r="C1309" s="51"/>
      <c r="D1309" s="51"/>
      <c r="E1309" s="51"/>
      <c r="F1309" s="51"/>
    </row>
    <row r="1310" spans="1:6" s="69" customFormat="1" ht="12" customHeight="1" x14ac:dyDescent="0.3">
      <c r="A1310" s="57"/>
      <c r="B1310" s="51"/>
      <c r="C1310" s="51"/>
      <c r="D1310" s="51"/>
      <c r="E1310" s="51"/>
      <c r="F1310" s="51"/>
    </row>
    <row r="1311" spans="1:6" s="69" customFormat="1" ht="12" customHeight="1" x14ac:dyDescent="0.3">
      <c r="A1311" s="57"/>
      <c r="B1311" s="51"/>
      <c r="C1311" s="51"/>
      <c r="D1311" s="51"/>
      <c r="E1311" s="51"/>
      <c r="F1311" s="51"/>
    </row>
    <row r="1312" spans="1:6" s="69" customFormat="1" ht="12" customHeight="1" x14ac:dyDescent="0.3">
      <c r="A1312" s="57"/>
      <c r="B1312" s="51"/>
      <c r="C1312" s="51"/>
      <c r="D1312" s="51"/>
      <c r="E1312" s="51"/>
      <c r="F1312" s="51"/>
    </row>
    <row r="1313" spans="1:6" s="69" customFormat="1" ht="12" customHeight="1" x14ac:dyDescent="0.3">
      <c r="A1313" s="57"/>
      <c r="B1313" s="51"/>
      <c r="C1313" s="51"/>
      <c r="D1313" s="51"/>
      <c r="E1313" s="51"/>
      <c r="F1313" s="51"/>
    </row>
    <row r="1314" spans="1:6" s="69" customFormat="1" ht="12" customHeight="1" x14ac:dyDescent="0.3">
      <c r="A1314" s="57"/>
      <c r="B1314" s="51"/>
      <c r="C1314" s="51"/>
      <c r="D1314" s="51"/>
      <c r="E1314" s="51"/>
      <c r="F1314" s="51"/>
    </row>
    <row r="1315" spans="1:6" s="69" customFormat="1" ht="12" customHeight="1" x14ac:dyDescent="0.3">
      <c r="A1315" s="57"/>
      <c r="B1315" s="51"/>
      <c r="C1315" s="51"/>
      <c r="D1315" s="51"/>
      <c r="E1315" s="51"/>
      <c r="F1315" s="51"/>
    </row>
    <row r="1316" spans="1:6" s="69" customFormat="1" ht="12" customHeight="1" x14ac:dyDescent="0.3">
      <c r="A1316" s="57"/>
      <c r="B1316" s="51"/>
      <c r="C1316" s="51"/>
      <c r="D1316" s="51"/>
      <c r="E1316" s="51"/>
      <c r="F1316" s="51"/>
    </row>
    <row r="1317" spans="1:6" s="69" customFormat="1" ht="12" customHeight="1" x14ac:dyDescent="0.3">
      <c r="A1317" s="57"/>
      <c r="B1317" s="51"/>
      <c r="C1317" s="51"/>
      <c r="D1317" s="51"/>
      <c r="E1317" s="51"/>
      <c r="F1317" s="51"/>
    </row>
    <row r="1318" spans="1:6" s="69" customFormat="1" ht="12" customHeight="1" x14ac:dyDescent="0.3">
      <c r="A1318" s="57"/>
      <c r="B1318" s="51"/>
      <c r="C1318" s="51"/>
      <c r="D1318" s="51"/>
      <c r="E1318" s="51"/>
      <c r="F1318" s="51"/>
    </row>
    <row r="1319" spans="1:6" s="69" customFormat="1" ht="12" customHeight="1" x14ac:dyDescent="0.3">
      <c r="A1319" s="57"/>
      <c r="B1319" s="51"/>
      <c r="C1319" s="51"/>
      <c r="D1319" s="51"/>
      <c r="E1319" s="51"/>
      <c r="F1319" s="51"/>
    </row>
    <row r="1320" spans="1:6" s="69" customFormat="1" ht="12" customHeight="1" x14ac:dyDescent="0.3">
      <c r="A1320" s="57"/>
      <c r="B1320" s="51"/>
      <c r="C1320" s="51"/>
      <c r="D1320" s="51"/>
      <c r="E1320" s="51"/>
      <c r="F1320" s="51"/>
    </row>
    <row r="1321" spans="1:6" s="69" customFormat="1" ht="12" customHeight="1" x14ac:dyDescent="0.3">
      <c r="A1321" s="57"/>
      <c r="B1321" s="51"/>
      <c r="C1321" s="51"/>
      <c r="D1321" s="51"/>
      <c r="E1321" s="51"/>
      <c r="F1321" s="51"/>
    </row>
    <row r="1322" spans="1:6" s="69" customFormat="1" ht="12" customHeight="1" x14ac:dyDescent="0.3">
      <c r="A1322" s="57"/>
      <c r="B1322" s="51"/>
      <c r="C1322" s="51"/>
      <c r="D1322" s="51"/>
      <c r="E1322" s="51"/>
      <c r="F1322" s="51"/>
    </row>
    <row r="1323" spans="1:6" s="69" customFormat="1" ht="12" customHeight="1" x14ac:dyDescent="0.3">
      <c r="A1323" s="57"/>
      <c r="B1323" s="51"/>
      <c r="C1323" s="51"/>
      <c r="D1323" s="51"/>
      <c r="E1323" s="51"/>
      <c r="F1323" s="51"/>
    </row>
    <row r="1324" spans="1:6" s="69" customFormat="1" ht="12" customHeight="1" x14ac:dyDescent="0.3">
      <c r="A1324" s="57"/>
      <c r="B1324" s="51"/>
      <c r="C1324" s="51"/>
      <c r="D1324" s="51"/>
      <c r="E1324" s="51"/>
      <c r="F1324" s="51"/>
    </row>
    <row r="1325" spans="1:6" s="69" customFormat="1" ht="12" customHeight="1" x14ac:dyDescent="0.3">
      <c r="A1325" s="57"/>
      <c r="B1325" s="51"/>
      <c r="C1325" s="51"/>
      <c r="D1325" s="51"/>
      <c r="E1325" s="51"/>
      <c r="F1325" s="51"/>
    </row>
    <row r="1326" spans="1:6" s="69" customFormat="1" ht="12" customHeight="1" x14ac:dyDescent="0.3">
      <c r="A1326" s="57"/>
      <c r="B1326" s="51"/>
      <c r="C1326" s="51"/>
      <c r="D1326" s="51"/>
      <c r="E1326" s="51"/>
      <c r="F1326" s="51"/>
    </row>
    <row r="1327" spans="1:6" s="69" customFormat="1" ht="12" customHeight="1" x14ac:dyDescent="0.3">
      <c r="A1327" s="57"/>
      <c r="B1327" s="51"/>
      <c r="C1327" s="51"/>
      <c r="D1327" s="51"/>
      <c r="E1327" s="51"/>
      <c r="F1327" s="51"/>
    </row>
    <row r="1328" spans="1:6" s="69" customFormat="1" ht="12" customHeight="1" x14ac:dyDescent="0.3">
      <c r="A1328" s="57"/>
      <c r="B1328" s="51"/>
      <c r="C1328" s="51"/>
      <c r="D1328" s="51"/>
      <c r="E1328" s="51"/>
      <c r="F1328" s="51"/>
    </row>
    <row r="1329" spans="1:6" s="69" customFormat="1" ht="12" customHeight="1" x14ac:dyDescent="0.3">
      <c r="A1329" s="57"/>
      <c r="B1329" s="51"/>
      <c r="C1329" s="51"/>
      <c r="D1329" s="51"/>
      <c r="E1329" s="51"/>
      <c r="F1329" s="51"/>
    </row>
    <row r="1330" spans="1:6" s="69" customFormat="1" ht="12" customHeight="1" x14ac:dyDescent="0.3">
      <c r="A1330" s="57"/>
      <c r="B1330" s="51"/>
      <c r="C1330" s="51"/>
      <c r="D1330" s="51"/>
      <c r="E1330" s="51"/>
      <c r="F1330" s="51"/>
    </row>
    <row r="1331" spans="1:6" s="69" customFormat="1" ht="12" customHeight="1" x14ac:dyDescent="0.3">
      <c r="A1331" s="57"/>
      <c r="B1331" s="51"/>
      <c r="C1331" s="51"/>
      <c r="D1331" s="51"/>
      <c r="E1331" s="51"/>
      <c r="F1331" s="51"/>
    </row>
    <row r="1332" spans="1:6" s="69" customFormat="1" ht="12" customHeight="1" x14ac:dyDescent="0.3">
      <c r="A1332" s="57"/>
      <c r="B1332" s="51"/>
      <c r="C1332" s="51"/>
      <c r="D1332" s="51"/>
      <c r="E1332" s="51"/>
      <c r="F1332" s="51"/>
    </row>
    <row r="1333" spans="1:6" s="69" customFormat="1" ht="12" customHeight="1" x14ac:dyDescent="0.3">
      <c r="A1333" s="57"/>
      <c r="B1333" s="51"/>
      <c r="C1333" s="51"/>
      <c r="D1333" s="51"/>
      <c r="E1333" s="51"/>
      <c r="F1333" s="51"/>
    </row>
    <row r="1334" spans="1:6" s="69" customFormat="1" ht="12" customHeight="1" x14ac:dyDescent="0.3">
      <c r="A1334" s="57"/>
      <c r="B1334" s="51"/>
      <c r="C1334" s="51"/>
      <c r="D1334" s="51"/>
      <c r="E1334" s="51"/>
      <c r="F1334" s="51"/>
    </row>
    <row r="1335" spans="1:6" s="69" customFormat="1" ht="12" customHeight="1" x14ac:dyDescent="0.3">
      <c r="A1335" s="57"/>
      <c r="B1335" s="51"/>
      <c r="C1335" s="51"/>
      <c r="D1335" s="51"/>
      <c r="E1335" s="51"/>
      <c r="F1335" s="51"/>
    </row>
    <row r="1336" spans="1:6" s="69" customFormat="1" ht="12" customHeight="1" x14ac:dyDescent="0.3">
      <c r="A1336" s="57"/>
      <c r="B1336" s="51"/>
      <c r="C1336" s="51"/>
      <c r="D1336" s="51"/>
      <c r="E1336" s="51"/>
      <c r="F1336" s="51"/>
    </row>
    <row r="1337" spans="1:6" s="69" customFormat="1" ht="12" customHeight="1" x14ac:dyDescent="0.3">
      <c r="A1337" s="57"/>
      <c r="B1337" s="51"/>
      <c r="C1337" s="51"/>
      <c r="D1337" s="51"/>
      <c r="E1337" s="51"/>
      <c r="F1337" s="51"/>
    </row>
    <row r="1338" spans="1:6" s="69" customFormat="1" ht="12" customHeight="1" x14ac:dyDescent="0.3">
      <c r="A1338" s="57"/>
      <c r="B1338" s="51"/>
      <c r="C1338" s="51"/>
      <c r="D1338" s="51"/>
      <c r="E1338" s="51"/>
      <c r="F1338" s="51"/>
    </row>
    <row r="1339" spans="1:6" s="69" customFormat="1" ht="12" customHeight="1" x14ac:dyDescent="0.3">
      <c r="A1339" s="57"/>
      <c r="B1339" s="51"/>
      <c r="C1339" s="51"/>
      <c r="D1339" s="51"/>
      <c r="E1339" s="51"/>
      <c r="F1339" s="51"/>
    </row>
    <row r="1340" spans="1:6" s="69" customFormat="1" ht="12" customHeight="1" x14ac:dyDescent="0.3">
      <c r="A1340" s="57"/>
      <c r="B1340" s="51"/>
      <c r="C1340" s="51"/>
      <c r="D1340" s="51"/>
      <c r="E1340" s="51"/>
      <c r="F1340" s="51"/>
    </row>
    <row r="1341" spans="1:6" s="69" customFormat="1" ht="12" customHeight="1" x14ac:dyDescent="0.3">
      <c r="A1341" s="57"/>
      <c r="B1341" s="51"/>
      <c r="C1341" s="51"/>
      <c r="D1341" s="51"/>
      <c r="E1341" s="51"/>
      <c r="F1341" s="51"/>
    </row>
    <row r="1342" spans="1:6" s="69" customFormat="1" ht="12" customHeight="1" x14ac:dyDescent="0.3">
      <c r="A1342" s="57"/>
      <c r="B1342" s="51"/>
      <c r="C1342" s="51"/>
      <c r="D1342" s="51"/>
      <c r="E1342" s="51"/>
      <c r="F1342" s="51"/>
    </row>
    <row r="1343" spans="1:6" s="69" customFormat="1" ht="12" customHeight="1" x14ac:dyDescent="0.3">
      <c r="A1343" s="57"/>
      <c r="B1343" s="51"/>
      <c r="C1343" s="51"/>
      <c r="D1343" s="51"/>
      <c r="E1343" s="51"/>
      <c r="F1343" s="51"/>
    </row>
    <row r="1344" spans="1:6" s="69" customFormat="1" ht="12" customHeight="1" x14ac:dyDescent="0.3">
      <c r="A1344" s="57"/>
      <c r="B1344" s="51"/>
      <c r="C1344" s="51"/>
      <c r="D1344" s="51"/>
      <c r="E1344" s="51"/>
      <c r="F1344" s="51"/>
    </row>
    <row r="1345" spans="1:6" s="69" customFormat="1" ht="12" customHeight="1" x14ac:dyDescent="0.3">
      <c r="A1345" s="57"/>
      <c r="B1345" s="51"/>
      <c r="C1345" s="51"/>
      <c r="D1345" s="51"/>
      <c r="E1345" s="51"/>
      <c r="F1345" s="51"/>
    </row>
    <row r="1346" spans="1:6" s="69" customFormat="1" ht="12" customHeight="1" x14ac:dyDescent="0.3">
      <c r="A1346" s="57"/>
      <c r="B1346" s="51"/>
      <c r="C1346" s="51"/>
      <c r="D1346" s="51"/>
      <c r="E1346" s="51"/>
      <c r="F1346" s="51"/>
    </row>
    <row r="1347" spans="1:6" s="69" customFormat="1" ht="12" customHeight="1" x14ac:dyDescent="0.3">
      <c r="A1347" s="57"/>
      <c r="B1347" s="51"/>
      <c r="C1347" s="51"/>
      <c r="D1347" s="51"/>
      <c r="E1347" s="51"/>
      <c r="F1347" s="51"/>
    </row>
    <row r="1348" spans="1:6" s="69" customFormat="1" ht="12" customHeight="1" x14ac:dyDescent="0.3">
      <c r="A1348" s="57"/>
      <c r="B1348" s="51"/>
      <c r="C1348" s="51"/>
      <c r="D1348" s="51"/>
      <c r="E1348" s="51"/>
      <c r="F1348" s="51"/>
    </row>
    <row r="1349" spans="1:6" s="69" customFormat="1" ht="12" customHeight="1" x14ac:dyDescent="0.3">
      <c r="A1349" s="57"/>
      <c r="B1349" s="51"/>
      <c r="C1349" s="51"/>
      <c r="D1349" s="51"/>
      <c r="E1349" s="51"/>
      <c r="F1349" s="51"/>
    </row>
    <row r="1350" spans="1:6" s="69" customFormat="1" ht="12" customHeight="1" x14ac:dyDescent="0.3">
      <c r="A1350" s="57"/>
      <c r="B1350" s="51"/>
      <c r="C1350" s="51"/>
      <c r="D1350" s="51"/>
      <c r="E1350" s="51"/>
      <c r="F1350" s="51"/>
    </row>
    <row r="1351" spans="1:6" s="69" customFormat="1" ht="12" customHeight="1" x14ac:dyDescent="0.3">
      <c r="A1351" s="57"/>
      <c r="B1351" s="51"/>
      <c r="C1351" s="51"/>
      <c r="D1351" s="51"/>
      <c r="E1351" s="51"/>
      <c r="F1351" s="51"/>
    </row>
    <row r="1352" spans="1:6" s="69" customFormat="1" ht="12" customHeight="1" x14ac:dyDescent="0.3">
      <c r="A1352" s="57"/>
      <c r="B1352" s="51"/>
      <c r="C1352" s="51"/>
      <c r="D1352" s="51"/>
      <c r="E1352" s="51"/>
      <c r="F1352" s="51"/>
    </row>
    <row r="1353" spans="1:6" s="69" customFormat="1" ht="12" customHeight="1" x14ac:dyDescent="0.3">
      <c r="A1353" s="57"/>
      <c r="B1353" s="51"/>
      <c r="C1353" s="51"/>
      <c r="D1353" s="51"/>
      <c r="E1353" s="51"/>
      <c r="F1353" s="51"/>
    </row>
    <row r="1354" spans="1:6" s="69" customFormat="1" ht="12" customHeight="1" x14ac:dyDescent="0.3">
      <c r="A1354" s="57"/>
      <c r="B1354" s="51"/>
      <c r="C1354" s="51"/>
      <c r="D1354" s="51"/>
      <c r="E1354" s="51"/>
      <c r="F1354" s="51"/>
    </row>
    <row r="1355" spans="1:6" s="69" customFormat="1" ht="12" customHeight="1" x14ac:dyDescent="0.3">
      <c r="A1355" s="57"/>
      <c r="B1355" s="51"/>
      <c r="C1355" s="51"/>
      <c r="D1355" s="51"/>
      <c r="E1355" s="51"/>
      <c r="F1355" s="51"/>
    </row>
    <row r="1356" spans="1:6" s="69" customFormat="1" ht="12" customHeight="1" x14ac:dyDescent="0.3">
      <c r="A1356" s="57"/>
      <c r="B1356" s="51"/>
      <c r="C1356" s="51"/>
      <c r="D1356" s="51"/>
      <c r="E1356" s="51"/>
      <c r="F1356" s="51"/>
    </row>
    <row r="1357" spans="1:6" s="69" customFormat="1" ht="12" customHeight="1" x14ac:dyDescent="0.3">
      <c r="A1357" s="57"/>
      <c r="B1357" s="51"/>
      <c r="C1357" s="51"/>
      <c r="D1357" s="51"/>
      <c r="E1357" s="51"/>
      <c r="F1357" s="51"/>
    </row>
    <row r="1358" spans="1:6" s="69" customFormat="1" ht="12" customHeight="1" x14ac:dyDescent="0.3">
      <c r="A1358" s="57"/>
      <c r="B1358" s="51"/>
      <c r="C1358" s="51"/>
      <c r="D1358" s="51"/>
      <c r="E1358" s="51"/>
      <c r="F1358" s="51"/>
    </row>
    <row r="1359" spans="1:6" s="69" customFormat="1" ht="12" customHeight="1" x14ac:dyDescent="0.3">
      <c r="A1359" s="57"/>
      <c r="B1359" s="51"/>
      <c r="C1359" s="51"/>
      <c r="D1359" s="51"/>
      <c r="E1359" s="51"/>
      <c r="F1359" s="51"/>
    </row>
    <row r="1360" spans="1:6" s="69" customFormat="1" ht="12" customHeight="1" x14ac:dyDescent="0.3">
      <c r="A1360" s="57"/>
      <c r="B1360" s="51"/>
      <c r="C1360" s="51"/>
      <c r="D1360" s="51"/>
      <c r="E1360" s="51"/>
      <c r="F1360" s="51"/>
    </row>
    <row r="1361" spans="1:6" s="69" customFormat="1" ht="12" customHeight="1" x14ac:dyDescent="0.3">
      <c r="A1361" s="57"/>
      <c r="B1361" s="51"/>
      <c r="C1361" s="51"/>
      <c r="D1361" s="51"/>
      <c r="E1361" s="51"/>
      <c r="F1361" s="51"/>
    </row>
    <row r="1362" spans="1:6" s="69" customFormat="1" ht="12" customHeight="1" x14ac:dyDescent="0.3">
      <c r="A1362" s="57"/>
      <c r="B1362" s="51"/>
      <c r="C1362" s="51"/>
      <c r="D1362" s="51"/>
      <c r="E1362" s="51"/>
      <c r="F1362" s="51"/>
    </row>
    <row r="1363" spans="1:6" s="69" customFormat="1" ht="12" customHeight="1" x14ac:dyDescent="0.3">
      <c r="A1363" s="57"/>
      <c r="B1363" s="51"/>
      <c r="C1363" s="51"/>
      <c r="D1363" s="51"/>
      <c r="E1363" s="51"/>
      <c r="F1363" s="51"/>
    </row>
    <row r="1364" spans="1:6" s="69" customFormat="1" ht="12" customHeight="1" x14ac:dyDescent="0.3">
      <c r="A1364" s="57"/>
      <c r="B1364" s="51"/>
      <c r="C1364" s="51"/>
      <c r="D1364" s="51"/>
      <c r="E1364" s="51"/>
      <c r="F1364" s="51"/>
    </row>
    <row r="1365" spans="1:6" s="69" customFormat="1" ht="12" customHeight="1" x14ac:dyDescent="0.3">
      <c r="A1365" s="57"/>
      <c r="B1365" s="51"/>
      <c r="C1365" s="51"/>
      <c r="D1365" s="51"/>
      <c r="E1365" s="51"/>
      <c r="F1365" s="51"/>
    </row>
    <row r="1366" spans="1:6" s="69" customFormat="1" ht="12" customHeight="1" x14ac:dyDescent="0.3">
      <c r="A1366" s="57"/>
      <c r="B1366" s="51"/>
      <c r="C1366" s="51"/>
      <c r="D1366" s="51"/>
      <c r="E1366" s="51"/>
      <c r="F1366" s="51"/>
    </row>
    <row r="1367" spans="1:6" s="69" customFormat="1" ht="12" customHeight="1" x14ac:dyDescent="0.3">
      <c r="A1367" s="57"/>
      <c r="B1367" s="51"/>
      <c r="C1367" s="51"/>
      <c r="D1367" s="51"/>
      <c r="E1367" s="51"/>
      <c r="F1367" s="51"/>
    </row>
    <row r="1368" spans="1:6" s="69" customFormat="1" ht="12" customHeight="1" x14ac:dyDescent="0.3">
      <c r="A1368" s="57"/>
      <c r="B1368" s="51"/>
      <c r="C1368" s="51"/>
      <c r="D1368" s="51"/>
      <c r="E1368" s="51"/>
      <c r="F1368" s="51"/>
    </row>
    <row r="1369" spans="1:6" s="69" customFormat="1" ht="12" customHeight="1" x14ac:dyDescent="0.3">
      <c r="A1369" s="57"/>
      <c r="B1369" s="51"/>
      <c r="C1369" s="51"/>
      <c r="D1369" s="51"/>
      <c r="E1369" s="51"/>
      <c r="F1369" s="51"/>
    </row>
    <row r="1370" spans="1:6" s="69" customFormat="1" ht="12" customHeight="1" x14ac:dyDescent="0.3">
      <c r="A1370" s="57"/>
      <c r="B1370" s="51"/>
      <c r="C1370" s="51"/>
      <c r="D1370" s="51"/>
      <c r="E1370" s="51"/>
      <c r="F1370" s="51"/>
    </row>
    <row r="1371" spans="1:6" s="69" customFormat="1" ht="12" customHeight="1" x14ac:dyDescent="0.3">
      <c r="A1371" s="57"/>
      <c r="B1371" s="51"/>
      <c r="C1371" s="51"/>
      <c r="D1371" s="51"/>
      <c r="E1371" s="51"/>
      <c r="F1371" s="51"/>
    </row>
    <row r="1372" spans="1:6" s="69" customFormat="1" ht="12" customHeight="1" x14ac:dyDescent="0.3">
      <c r="A1372" s="57"/>
      <c r="B1372" s="51"/>
      <c r="C1372" s="51"/>
      <c r="D1372" s="51"/>
      <c r="E1372" s="51"/>
      <c r="F1372" s="51"/>
    </row>
    <row r="1373" spans="1:6" s="69" customFormat="1" ht="12" customHeight="1" x14ac:dyDescent="0.3">
      <c r="A1373" s="57"/>
      <c r="B1373" s="51"/>
      <c r="C1373" s="51"/>
      <c r="D1373" s="51"/>
      <c r="E1373" s="51"/>
      <c r="F1373" s="51"/>
    </row>
    <row r="1374" spans="1:6" s="69" customFormat="1" ht="12" customHeight="1" x14ac:dyDescent="0.3">
      <c r="A1374" s="57"/>
      <c r="B1374" s="51"/>
      <c r="C1374" s="51"/>
      <c r="D1374" s="51"/>
      <c r="E1374" s="51"/>
      <c r="F1374" s="51"/>
    </row>
    <row r="1375" spans="1:6" s="69" customFormat="1" ht="12" customHeight="1" x14ac:dyDescent="0.3">
      <c r="A1375" s="57"/>
      <c r="B1375" s="51"/>
      <c r="C1375" s="51"/>
      <c r="D1375" s="51"/>
      <c r="E1375" s="51"/>
      <c r="F1375" s="51"/>
    </row>
    <row r="1376" spans="1:6" s="69" customFormat="1" ht="12" customHeight="1" x14ac:dyDescent="0.3">
      <c r="A1376" s="57"/>
      <c r="B1376" s="51"/>
      <c r="C1376" s="51"/>
      <c r="D1376" s="51"/>
      <c r="E1376" s="51"/>
      <c r="F1376" s="51"/>
    </row>
    <row r="1377" spans="1:6" s="69" customFormat="1" ht="12" customHeight="1" x14ac:dyDescent="0.3">
      <c r="A1377" s="57"/>
      <c r="B1377" s="51"/>
      <c r="C1377" s="51"/>
      <c r="D1377" s="51"/>
      <c r="E1377" s="51"/>
      <c r="F1377" s="51"/>
    </row>
    <row r="1378" spans="1:6" s="69" customFormat="1" ht="12" customHeight="1" x14ac:dyDescent="0.3">
      <c r="A1378" s="57"/>
      <c r="B1378" s="51"/>
      <c r="C1378" s="51"/>
      <c r="D1378" s="51"/>
      <c r="E1378" s="51"/>
      <c r="F1378" s="51"/>
    </row>
    <row r="1379" spans="1:6" s="69" customFormat="1" ht="12" customHeight="1" x14ac:dyDescent="0.3">
      <c r="A1379" s="57"/>
      <c r="B1379" s="51"/>
      <c r="C1379" s="51"/>
      <c r="D1379" s="51"/>
      <c r="E1379" s="51"/>
      <c r="F1379" s="51"/>
    </row>
    <row r="1380" spans="1:6" s="69" customFormat="1" ht="12" customHeight="1" x14ac:dyDescent="0.3">
      <c r="A1380" s="57"/>
      <c r="B1380" s="51"/>
      <c r="C1380" s="51"/>
      <c r="D1380" s="51"/>
      <c r="E1380" s="51"/>
      <c r="F1380" s="51"/>
    </row>
    <row r="1381" spans="1:6" s="69" customFormat="1" ht="12" customHeight="1" x14ac:dyDescent="0.3">
      <c r="A1381" s="57"/>
      <c r="B1381" s="51"/>
      <c r="C1381" s="51"/>
      <c r="D1381" s="51"/>
      <c r="E1381" s="51"/>
      <c r="F1381" s="51"/>
    </row>
    <row r="1382" spans="1:6" s="69" customFormat="1" ht="12" customHeight="1" x14ac:dyDescent="0.3">
      <c r="A1382" s="57"/>
      <c r="B1382" s="51"/>
      <c r="C1382" s="51"/>
      <c r="D1382" s="51"/>
      <c r="E1382" s="51"/>
      <c r="F1382" s="51"/>
    </row>
    <row r="1383" spans="1:6" s="69" customFormat="1" ht="12" customHeight="1" x14ac:dyDescent="0.3">
      <c r="A1383" s="57"/>
      <c r="B1383" s="51"/>
      <c r="C1383" s="51"/>
      <c r="D1383" s="51"/>
      <c r="E1383" s="51"/>
      <c r="F1383" s="51"/>
    </row>
    <row r="1384" spans="1:6" s="69" customFormat="1" ht="12" customHeight="1" x14ac:dyDescent="0.3">
      <c r="A1384" s="57"/>
      <c r="B1384" s="51"/>
      <c r="C1384" s="51"/>
      <c r="D1384" s="51"/>
      <c r="E1384" s="51"/>
      <c r="F1384" s="51"/>
    </row>
    <row r="1385" spans="1:6" s="69" customFormat="1" ht="12" customHeight="1" x14ac:dyDescent="0.3">
      <c r="A1385" s="57"/>
      <c r="B1385" s="51"/>
      <c r="C1385" s="51"/>
      <c r="D1385" s="51"/>
      <c r="E1385" s="51"/>
      <c r="F1385" s="51"/>
    </row>
    <row r="1386" spans="1:6" s="69" customFormat="1" ht="12" customHeight="1" x14ac:dyDescent="0.3">
      <c r="A1386" s="57"/>
      <c r="B1386" s="51"/>
      <c r="C1386" s="51"/>
      <c r="D1386" s="51"/>
      <c r="E1386" s="51"/>
      <c r="F1386" s="51"/>
    </row>
    <row r="1387" spans="1:6" s="69" customFormat="1" ht="12" customHeight="1" x14ac:dyDescent="0.3">
      <c r="A1387" s="57"/>
      <c r="B1387" s="51"/>
      <c r="C1387" s="51"/>
      <c r="D1387" s="51"/>
      <c r="E1387" s="51"/>
      <c r="F1387" s="51"/>
    </row>
    <row r="1388" spans="1:6" s="69" customFormat="1" ht="12" customHeight="1" x14ac:dyDescent="0.3">
      <c r="A1388" s="57"/>
      <c r="B1388" s="51"/>
      <c r="C1388" s="51"/>
      <c r="D1388" s="51"/>
      <c r="E1388" s="51"/>
      <c r="F1388" s="51"/>
    </row>
    <row r="1389" spans="1:6" s="69" customFormat="1" ht="12" customHeight="1" x14ac:dyDescent="0.3">
      <c r="A1389" s="57"/>
      <c r="B1389" s="51"/>
      <c r="C1389" s="51"/>
      <c r="D1389" s="51"/>
      <c r="E1389" s="51"/>
      <c r="F1389" s="51"/>
    </row>
    <row r="1390" spans="1:6" s="69" customFormat="1" ht="12" customHeight="1" x14ac:dyDescent="0.3">
      <c r="A1390" s="57"/>
      <c r="B1390" s="51"/>
      <c r="C1390" s="51"/>
      <c r="D1390" s="51"/>
      <c r="E1390" s="51"/>
      <c r="F1390" s="51"/>
    </row>
    <row r="1391" spans="1:6" s="69" customFormat="1" ht="12" customHeight="1" x14ac:dyDescent="0.3">
      <c r="A1391" s="57"/>
      <c r="B1391" s="51"/>
      <c r="C1391" s="51"/>
      <c r="D1391" s="51"/>
      <c r="E1391" s="51"/>
      <c r="F1391" s="51"/>
    </row>
    <row r="1392" spans="1:6" s="69" customFormat="1" ht="12" customHeight="1" x14ac:dyDescent="0.3">
      <c r="A1392" s="57"/>
      <c r="B1392" s="51"/>
      <c r="C1392" s="51"/>
      <c r="D1392" s="51"/>
      <c r="E1392" s="51"/>
      <c r="F1392" s="51"/>
    </row>
    <row r="1393" spans="1:6" s="69" customFormat="1" ht="12" customHeight="1" x14ac:dyDescent="0.3">
      <c r="A1393" s="57"/>
      <c r="B1393" s="51"/>
      <c r="C1393" s="51"/>
      <c r="D1393" s="51"/>
      <c r="E1393" s="51"/>
      <c r="F1393" s="51"/>
    </row>
    <row r="1394" spans="1:6" s="69" customFormat="1" ht="12" customHeight="1" x14ac:dyDescent="0.3">
      <c r="A1394" s="57"/>
      <c r="B1394" s="51"/>
      <c r="C1394" s="51"/>
      <c r="D1394" s="51"/>
      <c r="E1394" s="51"/>
      <c r="F1394" s="51"/>
    </row>
    <row r="1395" spans="1:6" s="69" customFormat="1" ht="12" customHeight="1" x14ac:dyDescent="0.3">
      <c r="A1395" s="57"/>
      <c r="B1395" s="51"/>
      <c r="C1395" s="51"/>
      <c r="D1395" s="51"/>
      <c r="E1395" s="51"/>
      <c r="F1395" s="51"/>
    </row>
    <row r="1396" spans="1:6" s="69" customFormat="1" ht="12" customHeight="1" x14ac:dyDescent="0.3">
      <c r="A1396" s="57"/>
      <c r="B1396" s="51"/>
      <c r="C1396" s="51"/>
      <c r="D1396" s="51"/>
      <c r="E1396" s="51"/>
      <c r="F1396" s="51"/>
    </row>
    <row r="1397" spans="1:6" s="69" customFormat="1" ht="12" customHeight="1" x14ac:dyDescent="0.3">
      <c r="A1397" s="57"/>
      <c r="B1397" s="51"/>
      <c r="C1397" s="51"/>
      <c r="D1397" s="51"/>
      <c r="E1397" s="51"/>
      <c r="F1397" s="51"/>
    </row>
    <row r="1398" spans="1:6" s="69" customFormat="1" ht="12" customHeight="1" x14ac:dyDescent="0.3">
      <c r="A1398" s="57"/>
      <c r="B1398" s="51"/>
      <c r="C1398" s="51"/>
      <c r="D1398" s="51"/>
      <c r="E1398" s="51"/>
      <c r="F1398" s="51"/>
    </row>
    <row r="1399" spans="1:6" s="69" customFormat="1" ht="12" customHeight="1" x14ac:dyDescent="0.3">
      <c r="A1399" s="57"/>
      <c r="B1399" s="51"/>
      <c r="C1399" s="51"/>
      <c r="D1399" s="51"/>
      <c r="E1399" s="51"/>
      <c r="F1399" s="51"/>
    </row>
    <row r="1400" spans="1:6" s="69" customFormat="1" ht="12" customHeight="1" x14ac:dyDescent="0.3">
      <c r="A1400" s="57"/>
      <c r="B1400" s="51"/>
      <c r="C1400" s="51"/>
      <c r="D1400" s="51"/>
      <c r="E1400" s="51"/>
      <c r="F1400" s="51"/>
    </row>
    <row r="1401" spans="1:6" s="69" customFormat="1" ht="12" customHeight="1" x14ac:dyDescent="0.3">
      <c r="A1401" s="57"/>
      <c r="B1401" s="51"/>
      <c r="C1401" s="51"/>
      <c r="D1401" s="51"/>
      <c r="E1401" s="51"/>
      <c r="F1401" s="51"/>
    </row>
    <row r="1402" spans="1:6" s="69" customFormat="1" ht="12" customHeight="1" x14ac:dyDescent="0.3">
      <c r="A1402" s="57"/>
      <c r="B1402" s="51"/>
      <c r="C1402" s="51"/>
      <c r="D1402" s="51"/>
      <c r="E1402" s="51"/>
      <c r="F1402" s="51"/>
    </row>
    <row r="1403" spans="1:6" s="69" customFormat="1" ht="12" customHeight="1" x14ac:dyDescent="0.3">
      <c r="A1403" s="57"/>
      <c r="B1403" s="51"/>
      <c r="C1403" s="51"/>
      <c r="D1403" s="51"/>
      <c r="E1403" s="51"/>
      <c r="F1403" s="51"/>
    </row>
    <row r="1404" spans="1:6" s="69" customFormat="1" ht="12" customHeight="1" x14ac:dyDescent="0.3">
      <c r="A1404" s="57"/>
      <c r="B1404" s="51"/>
      <c r="C1404" s="51"/>
      <c r="D1404" s="51"/>
      <c r="E1404" s="51"/>
      <c r="F1404" s="51"/>
    </row>
    <row r="1405" spans="1:6" s="69" customFormat="1" ht="12" customHeight="1" x14ac:dyDescent="0.3">
      <c r="A1405" s="57"/>
      <c r="B1405" s="51"/>
      <c r="C1405" s="51"/>
      <c r="D1405" s="51"/>
      <c r="E1405" s="51"/>
      <c r="F1405" s="51"/>
    </row>
    <row r="1406" spans="1:6" s="69" customFormat="1" ht="12" customHeight="1" x14ac:dyDescent="0.3">
      <c r="A1406" s="57"/>
      <c r="B1406" s="51"/>
      <c r="C1406" s="51"/>
      <c r="D1406" s="51"/>
      <c r="E1406" s="51"/>
      <c r="F1406" s="51"/>
    </row>
    <row r="1407" spans="1:6" s="69" customFormat="1" ht="12" customHeight="1" x14ac:dyDescent="0.3">
      <c r="A1407" s="57"/>
      <c r="B1407" s="51"/>
      <c r="C1407" s="51"/>
      <c r="D1407" s="51"/>
      <c r="E1407" s="51"/>
      <c r="F1407" s="51"/>
    </row>
    <row r="1408" spans="1:6" s="69" customFormat="1" ht="12" customHeight="1" x14ac:dyDescent="0.3">
      <c r="A1408" s="57"/>
      <c r="B1408" s="51"/>
      <c r="C1408" s="51"/>
      <c r="D1408" s="51"/>
      <c r="E1408" s="51"/>
      <c r="F1408" s="51"/>
    </row>
    <row r="1409" spans="1:6" s="69" customFormat="1" ht="12" customHeight="1" x14ac:dyDescent="0.3">
      <c r="A1409" s="57"/>
      <c r="B1409" s="51"/>
      <c r="C1409" s="51"/>
      <c r="D1409" s="51"/>
      <c r="E1409" s="51"/>
      <c r="F1409" s="51"/>
    </row>
    <row r="1410" spans="1:6" s="69" customFormat="1" ht="12" customHeight="1" x14ac:dyDescent="0.3">
      <c r="A1410" s="57"/>
      <c r="B1410" s="51"/>
      <c r="C1410" s="51"/>
      <c r="D1410" s="51"/>
      <c r="E1410" s="51"/>
      <c r="F1410" s="51"/>
    </row>
    <row r="1411" spans="1:6" s="69" customFormat="1" ht="12" customHeight="1" x14ac:dyDescent="0.3">
      <c r="A1411" s="57"/>
      <c r="B1411" s="51"/>
      <c r="C1411" s="51"/>
      <c r="D1411" s="51"/>
      <c r="E1411" s="51"/>
      <c r="F1411" s="51"/>
    </row>
    <row r="1412" spans="1:6" s="69" customFormat="1" ht="12" customHeight="1" x14ac:dyDescent="0.3">
      <c r="A1412" s="57"/>
      <c r="B1412" s="51"/>
      <c r="C1412" s="51"/>
      <c r="D1412" s="51"/>
      <c r="E1412" s="51"/>
      <c r="F1412" s="51"/>
    </row>
    <row r="1413" spans="1:6" s="69" customFormat="1" ht="12" customHeight="1" x14ac:dyDescent="0.3">
      <c r="A1413" s="57"/>
      <c r="B1413" s="51"/>
      <c r="C1413" s="51"/>
      <c r="D1413" s="51"/>
      <c r="E1413" s="51"/>
      <c r="F1413" s="51"/>
    </row>
    <row r="1414" spans="1:6" s="69" customFormat="1" ht="12" customHeight="1" x14ac:dyDescent="0.3">
      <c r="A1414" s="57"/>
      <c r="B1414" s="51"/>
      <c r="C1414" s="51"/>
      <c r="D1414" s="51"/>
      <c r="E1414" s="51"/>
      <c r="F1414" s="51"/>
    </row>
    <row r="1415" spans="1:6" s="69" customFormat="1" ht="12" customHeight="1" x14ac:dyDescent="0.3">
      <c r="A1415" s="57"/>
      <c r="B1415" s="51"/>
      <c r="C1415" s="51"/>
      <c r="D1415" s="51"/>
      <c r="E1415" s="51"/>
      <c r="F1415" s="51"/>
    </row>
    <row r="1416" spans="1:6" s="69" customFormat="1" ht="12" customHeight="1" x14ac:dyDescent="0.3">
      <c r="A1416" s="57"/>
      <c r="B1416" s="51"/>
      <c r="C1416" s="51"/>
      <c r="D1416" s="51"/>
      <c r="E1416" s="51"/>
      <c r="F1416" s="51"/>
    </row>
    <row r="1417" spans="1:6" s="69" customFormat="1" ht="12" customHeight="1" x14ac:dyDescent="0.3">
      <c r="A1417" s="57"/>
      <c r="B1417" s="51"/>
      <c r="C1417" s="51"/>
      <c r="D1417" s="51"/>
      <c r="E1417" s="51"/>
      <c r="F1417" s="51"/>
    </row>
    <row r="1418" spans="1:6" s="69" customFormat="1" ht="12" customHeight="1" x14ac:dyDescent="0.3">
      <c r="A1418" s="57"/>
      <c r="B1418" s="51"/>
      <c r="C1418" s="51"/>
      <c r="D1418" s="51"/>
      <c r="E1418" s="51"/>
      <c r="F1418" s="51"/>
    </row>
    <row r="1419" spans="1:6" s="69" customFormat="1" ht="12" customHeight="1" x14ac:dyDescent="0.3">
      <c r="A1419" s="57"/>
      <c r="B1419" s="51"/>
      <c r="C1419" s="51"/>
      <c r="D1419" s="51"/>
      <c r="E1419" s="51"/>
      <c r="F1419" s="51"/>
    </row>
    <row r="1420" spans="1:6" s="69" customFormat="1" ht="12" customHeight="1" x14ac:dyDescent="0.3">
      <c r="A1420" s="57"/>
      <c r="B1420" s="51"/>
      <c r="C1420" s="51"/>
      <c r="D1420" s="51"/>
      <c r="E1420" s="51"/>
      <c r="F1420" s="51"/>
    </row>
    <row r="1421" spans="1:6" s="69" customFormat="1" ht="12" customHeight="1" x14ac:dyDescent="0.3">
      <c r="A1421" s="57"/>
      <c r="B1421" s="51"/>
      <c r="C1421" s="51"/>
      <c r="D1421" s="51"/>
      <c r="E1421" s="51"/>
      <c r="F1421" s="51"/>
    </row>
    <row r="1422" spans="1:6" s="69" customFormat="1" ht="12" customHeight="1" x14ac:dyDescent="0.3">
      <c r="A1422" s="57"/>
      <c r="B1422" s="51"/>
      <c r="C1422" s="51"/>
      <c r="D1422" s="51"/>
      <c r="E1422" s="51"/>
      <c r="F1422" s="51"/>
    </row>
    <row r="1423" spans="1:6" s="69" customFormat="1" ht="12" customHeight="1" x14ac:dyDescent="0.3">
      <c r="A1423" s="57"/>
      <c r="B1423" s="51"/>
      <c r="C1423" s="51"/>
      <c r="D1423" s="51"/>
      <c r="E1423" s="51"/>
      <c r="F1423" s="51"/>
    </row>
    <row r="1424" spans="1:6" s="69" customFormat="1" ht="12" customHeight="1" x14ac:dyDescent="0.3">
      <c r="A1424" s="57"/>
      <c r="B1424" s="51"/>
      <c r="C1424" s="51"/>
      <c r="D1424" s="51"/>
      <c r="E1424" s="51"/>
      <c r="F1424" s="51"/>
    </row>
    <row r="1425" spans="1:6" s="69" customFormat="1" ht="12" customHeight="1" x14ac:dyDescent="0.3">
      <c r="A1425" s="57"/>
      <c r="B1425" s="51"/>
      <c r="C1425" s="51"/>
      <c r="D1425" s="51"/>
      <c r="E1425" s="51"/>
      <c r="F1425" s="51"/>
    </row>
    <row r="1426" spans="1:6" s="69" customFormat="1" ht="12" customHeight="1" x14ac:dyDescent="0.3">
      <c r="A1426" s="57"/>
      <c r="B1426" s="51"/>
      <c r="C1426" s="51"/>
      <c r="D1426" s="51"/>
      <c r="E1426" s="51"/>
      <c r="F1426" s="51"/>
    </row>
    <row r="1427" spans="1:6" s="69" customFormat="1" ht="12" customHeight="1" x14ac:dyDescent="0.3">
      <c r="A1427" s="57"/>
      <c r="B1427" s="51"/>
      <c r="C1427" s="51"/>
      <c r="D1427" s="51"/>
      <c r="E1427" s="51"/>
      <c r="F1427" s="51"/>
    </row>
    <row r="1428" spans="1:6" s="69" customFormat="1" ht="12" customHeight="1" x14ac:dyDescent="0.3">
      <c r="A1428" s="57"/>
      <c r="B1428" s="51"/>
      <c r="C1428" s="51"/>
      <c r="D1428" s="51"/>
      <c r="E1428" s="51"/>
      <c r="F1428" s="51"/>
    </row>
    <row r="1429" spans="1:6" s="69" customFormat="1" ht="12" customHeight="1" x14ac:dyDescent="0.3">
      <c r="A1429" s="57"/>
      <c r="B1429" s="51"/>
      <c r="C1429" s="51"/>
      <c r="D1429" s="51"/>
      <c r="E1429" s="51"/>
      <c r="F1429" s="51"/>
    </row>
    <row r="1430" spans="1:6" s="69" customFormat="1" ht="12" customHeight="1" x14ac:dyDescent="0.3">
      <c r="A1430" s="57"/>
      <c r="B1430" s="51"/>
      <c r="C1430" s="51"/>
      <c r="D1430" s="51"/>
      <c r="E1430" s="51"/>
      <c r="F1430" s="51"/>
    </row>
    <row r="1431" spans="1:6" s="69" customFormat="1" ht="12" customHeight="1" x14ac:dyDescent="0.3">
      <c r="A1431" s="57"/>
      <c r="B1431" s="51"/>
      <c r="C1431" s="51"/>
      <c r="D1431" s="51"/>
      <c r="E1431" s="51"/>
      <c r="F1431" s="51"/>
    </row>
    <row r="1432" spans="1:6" s="69" customFormat="1" ht="12" customHeight="1" x14ac:dyDescent="0.3">
      <c r="A1432" s="57"/>
      <c r="B1432" s="51"/>
      <c r="C1432" s="51"/>
      <c r="D1432" s="51"/>
      <c r="E1432" s="51"/>
      <c r="F1432" s="51"/>
    </row>
    <row r="1433" spans="1:6" s="69" customFormat="1" ht="12" customHeight="1" x14ac:dyDescent="0.3">
      <c r="A1433" s="57"/>
      <c r="B1433" s="51"/>
      <c r="C1433" s="51"/>
      <c r="D1433" s="51"/>
      <c r="E1433" s="51"/>
      <c r="F1433" s="51"/>
    </row>
    <row r="1434" spans="1:6" s="69" customFormat="1" ht="12" customHeight="1" x14ac:dyDescent="0.3">
      <c r="A1434" s="57"/>
      <c r="B1434" s="51"/>
      <c r="C1434" s="51"/>
      <c r="D1434" s="51"/>
      <c r="E1434" s="51"/>
      <c r="F1434" s="51"/>
    </row>
    <row r="1435" spans="1:6" s="69" customFormat="1" ht="12" customHeight="1" x14ac:dyDescent="0.3">
      <c r="A1435" s="57"/>
      <c r="B1435" s="51"/>
      <c r="C1435" s="51"/>
      <c r="D1435" s="51"/>
      <c r="E1435" s="51"/>
      <c r="F1435" s="51"/>
    </row>
    <row r="1436" spans="1:6" s="69" customFormat="1" ht="12" customHeight="1" x14ac:dyDescent="0.3">
      <c r="A1436" s="57"/>
      <c r="B1436" s="51"/>
      <c r="C1436" s="51"/>
      <c r="D1436" s="51"/>
      <c r="E1436" s="51"/>
      <c r="F1436" s="51"/>
    </row>
    <row r="1437" spans="1:6" s="69" customFormat="1" ht="12" customHeight="1" x14ac:dyDescent="0.3">
      <c r="A1437" s="57"/>
      <c r="B1437" s="51"/>
      <c r="C1437" s="51"/>
      <c r="D1437" s="51"/>
      <c r="E1437" s="51"/>
      <c r="F1437" s="51"/>
    </row>
    <row r="1438" spans="1:6" s="69" customFormat="1" ht="12" customHeight="1" x14ac:dyDescent="0.3">
      <c r="A1438" s="57"/>
      <c r="B1438" s="51"/>
      <c r="C1438" s="51"/>
      <c r="D1438" s="51"/>
      <c r="E1438" s="51"/>
      <c r="F1438" s="51"/>
    </row>
    <row r="1439" spans="1:6" s="69" customFormat="1" ht="12" customHeight="1" x14ac:dyDescent="0.3">
      <c r="A1439" s="57"/>
      <c r="B1439" s="51"/>
      <c r="C1439" s="51"/>
      <c r="D1439" s="51"/>
      <c r="E1439" s="51"/>
      <c r="F1439" s="51"/>
    </row>
    <row r="1440" spans="1:6" s="69" customFormat="1" ht="12" customHeight="1" x14ac:dyDescent="0.3">
      <c r="A1440" s="57"/>
      <c r="B1440" s="51"/>
      <c r="C1440" s="51"/>
      <c r="D1440" s="51"/>
      <c r="E1440" s="51"/>
      <c r="F1440" s="51"/>
    </row>
    <row r="1441" spans="1:6" s="69" customFormat="1" ht="12" customHeight="1" x14ac:dyDescent="0.3">
      <c r="A1441" s="57"/>
      <c r="B1441" s="51"/>
      <c r="C1441" s="51"/>
      <c r="D1441" s="51"/>
      <c r="E1441" s="51"/>
      <c r="F1441" s="51"/>
    </row>
    <row r="1442" spans="1:6" s="69" customFormat="1" ht="12" customHeight="1" x14ac:dyDescent="0.3">
      <c r="A1442" s="57"/>
      <c r="B1442" s="51"/>
      <c r="C1442" s="51"/>
      <c r="D1442" s="51"/>
      <c r="E1442" s="51"/>
      <c r="F1442" s="51"/>
    </row>
    <row r="1443" spans="1:6" s="69" customFormat="1" ht="12" customHeight="1" x14ac:dyDescent="0.3">
      <c r="A1443" s="57"/>
      <c r="B1443" s="51"/>
      <c r="C1443" s="51"/>
      <c r="D1443" s="51"/>
      <c r="E1443" s="51"/>
      <c r="F1443" s="51"/>
    </row>
    <row r="1444" spans="1:6" s="69" customFormat="1" ht="12" customHeight="1" x14ac:dyDescent="0.3">
      <c r="A1444" s="57"/>
      <c r="B1444" s="51"/>
      <c r="C1444" s="51"/>
      <c r="D1444" s="51"/>
      <c r="E1444" s="51"/>
      <c r="F1444" s="51"/>
    </row>
    <row r="1445" spans="1:6" s="69" customFormat="1" ht="12" customHeight="1" x14ac:dyDescent="0.3">
      <c r="A1445" s="57"/>
      <c r="B1445" s="51"/>
      <c r="C1445" s="51"/>
      <c r="D1445" s="51"/>
      <c r="E1445" s="51"/>
      <c r="F1445" s="51"/>
    </row>
    <row r="1446" spans="1:6" s="69" customFormat="1" ht="12" customHeight="1" x14ac:dyDescent="0.3">
      <c r="A1446" s="57"/>
      <c r="B1446" s="51"/>
      <c r="C1446" s="51"/>
      <c r="D1446" s="51"/>
      <c r="E1446" s="51"/>
      <c r="F1446" s="51"/>
    </row>
    <row r="1447" spans="1:6" s="69" customFormat="1" ht="12" customHeight="1" x14ac:dyDescent="0.3">
      <c r="A1447" s="57"/>
      <c r="B1447" s="51"/>
      <c r="C1447" s="51"/>
      <c r="D1447" s="51"/>
      <c r="E1447" s="51"/>
      <c r="F1447" s="51"/>
    </row>
    <row r="1448" spans="1:6" s="69" customFormat="1" ht="12" customHeight="1" x14ac:dyDescent="0.3">
      <c r="A1448" s="57"/>
      <c r="B1448" s="51"/>
      <c r="C1448" s="51"/>
      <c r="D1448" s="51"/>
      <c r="E1448" s="51"/>
      <c r="F1448" s="51"/>
    </row>
    <row r="1449" spans="1:6" s="69" customFormat="1" ht="12" customHeight="1" x14ac:dyDescent="0.3">
      <c r="A1449" s="57"/>
      <c r="B1449" s="51"/>
      <c r="C1449" s="51"/>
      <c r="D1449" s="51"/>
      <c r="E1449" s="51"/>
      <c r="F1449" s="51"/>
    </row>
    <row r="1450" spans="1:6" s="69" customFormat="1" ht="12" customHeight="1" x14ac:dyDescent="0.3">
      <c r="A1450" s="57"/>
      <c r="B1450" s="51"/>
      <c r="C1450" s="51"/>
      <c r="D1450" s="51"/>
      <c r="E1450" s="51"/>
      <c r="F1450" s="51"/>
    </row>
    <row r="1451" spans="1:6" s="69" customFormat="1" ht="12" customHeight="1" x14ac:dyDescent="0.3">
      <c r="A1451" s="57"/>
      <c r="B1451" s="51"/>
      <c r="C1451" s="51"/>
      <c r="D1451" s="51"/>
      <c r="E1451" s="51"/>
      <c r="F1451" s="51"/>
    </row>
    <row r="1452" spans="1:6" s="69" customFormat="1" ht="12" customHeight="1" x14ac:dyDescent="0.3">
      <c r="A1452" s="57"/>
      <c r="B1452" s="51"/>
      <c r="C1452" s="51"/>
      <c r="D1452" s="51"/>
      <c r="E1452" s="51"/>
      <c r="F1452" s="51"/>
    </row>
    <row r="1453" spans="1:6" s="69" customFormat="1" ht="12" customHeight="1" x14ac:dyDescent="0.3">
      <c r="A1453" s="57"/>
      <c r="B1453" s="51"/>
      <c r="C1453" s="51"/>
      <c r="D1453" s="51"/>
      <c r="E1453" s="51"/>
      <c r="F1453" s="51"/>
    </row>
    <row r="1454" spans="1:6" s="69" customFormat="1" ht="12" customHeight="1" x14ac:dyDescent="0.3">
      <c r="A1454" s="57"/>
      <c r="B1454" s="51"/>
      <c r="C1454" s="51"/>
      <c r="D1454" s="51"/>
      <c r="E1454" s="51"/>
      <c r="F1454" s="51"/>
    </row>
    <row r="1455" spans="1:6" s="69" customFormat="1" ht="12" customHeight="1" x14ac:dyDescent="0.3">
      <c r="A1455" s="57"/>
      <c r="B1455" s="51"/>
      <c r="C1455" s="51"/>
      <c r="D1455" s="51"/>
      <c r="E1455" s="51"/>
      <c r="F1455" s="51"/>
    </row>
    <row r="1456" spans="1:6" s="69" customFormat="1" ht="12" customHeight="1" x14ac:dyDescent="0.3">
      <c r="A1456" s="57"/>
      <c r="B1456" s="51"/>
      <c r="C1456" s="51"/>
      <c r="D1456" s="51"/>
      <c r="E1456" s="51"/>
      <c r="F1456" s="51"/>
    </row>
    <row r="1457" spans="1:6" s="69" customFormat="1" ht="12" customHeight="1" x14ac:dyDescent="0.3">
      <c r="A1457" s="57"/>
      <c r="B1457" s="51"/>
      <c r="C1457" s="51"/>
      <c r="D1457" s="51"/>
      <c r="E1457" s="51"/>
      <c r="F1457" s="51"/>
    </row>
    <row r="1458" spans="1:6" s="69" customFormat="1" ht="12" customHeight="1" x14ac:dyDescent="0.3">
      <c r="A1458" s="57"/>
      <c r="B1458" s="51"/>
      <c r="C1458" s="51"/>
      <c r="D1458" s="51"/>
      <c r="E1458" s="51"/>
      <c r="F1458" s="51"/>
    </row>
    <row r="1459" spans="1:6" s="69" customFormat="1" ht="12" customHeight="1" x14ac:dyDescent="0.3">
      <c r="A1459" s="57"/>
      <c r="B1459" s="51"/>
      <c r="C1459" s="51"/>
      <c r="D1459" s="51"/>
      <c r="E1459" s="51"/>
      <c r="F1459" s="51"/>
    </row>
    <row r="1460" spans="1:6" s="69" customFormat="1" ht="12" customHeight="1" x14ac:dyDescent="0.3">
      <c r="A1460" s="57"/>
      <c r="B1460" s="51"/>
      <c r="C1460" s="51"/>
      <c r="D1460" s="51"/>
      <c r="E1460" s="51"/>
      <c r="F1460" s="51"/>
    </row>
    <row r="1461" spans="1:6" s="69" customFormat="1" ht="12" customHeight="1" x14ac:dyDescent="0.3">
      <c r="A1461" s="57"/>
      <c r="B1461" s="51"/>
      <c r="C1461" s="51"/>
      <c r="D1461" s="51"/>
      <c r="E1461" s="51"/>
      <c r="F1461" s="51"/>
    </row>
    <row r="1462" spans="1:6" s="69" customFormat="1" ht="12" customHeight="1" x14ac:dyDescent="0.3">
      <c r="A1462" s="57"/>
      <c r="B1462" s="51"/>
      <c r="C1462" s="51"/>
      <c r="D1462" s="51"/>
      <c r="E1462" s="51"/>
      <c r="F1462" s="51"/>
    </row>
    <row r="1463" spans="1:6" s="69" customFormat="1" ht="12" customHeight="1" x14ac:dyDescent="0.3">
      <c r="A1463" s="57"/>
      <c r="B1463" s="51"/>
      <c r="C1463" s="51"/>
      <c r="D1463" s="51"/>
      <c r="E1463" s="51"/>
      <c r="F1463" s="51"/>
    </row>
    <row r="1464" spans="1:6" s="69" customFormat="1" ht="12" customHeight="1" x14ac:dyDescent="0.3">
      <c r="A1464" s="57"/>
      <c r="B1464" s="51"/>
      <c r="C1464" s="51"/>
      <c r="D1464" s="51"/>
      <c r="E1464" s="51"/>
      <c r="F1464" s="51"/>
    </row>
    <row r="1465" spans="1:6" s="69" customFormat="1" ht="12" customHeight="1" x14ac:dyDescent="0.3">
      <c r="A1465" s="57"/>
      <c r="B1465" s="51"/>
      <c r="C1465" s="51"/>
      <c r="D1465" s="51"/>
      <c r="E1465" s="51"/>
      <c r="F1465" s="51"/>
    </row>
    <row r="1466" spans="1:6" s="69" customFormat="1" ht="12" customHeight="1" x14ac:dyDescent="0.3">
      <c r="A1466" s="57"/>
      <c r="B1466" s="51"/>
      <c r="C1466" s="51"/>
      <c r="D1466" s="51"/>
      <c r="E1466" s="51"/>
      <c r="F1466" s="51"/>
    </row>
    <row r="1467" spans="1:6" s="69" customFormat="1" ht="12" customHeight="1" x14ac:dyDescent="0.3">
      <c r="A1467" s="57"/>
      <c r="B1467" s="51"/>
      <c r="C1467" s="51"/>
      <c r="D1467" s="51"/>
      <c r="E1467" s="51"/>
      <c r="F1467" s="51"/>
    </row>
    <row r="1468" spans="1:6" s="69" customFormat="1" ht="12" customHeight="1" x14ac:dyDescent="0.3">
      <c r="A1468" s="57"/>
      <c r="B1468" s="51"/>
      <c r="C1468" s="51"/>
      <c r="D1468" s="51"/>
      <c r="E1468" s="51"/>
      <c r="F1468" s="51"/>
    </row>
    <row r="1469" spans="1:6" s="69" customFormat="1" ht="12" customHeight="1" x14ac:dyDescent="0.3">
      <c r="A1469" s="57"/>
      <c r="B1469" s="51"/>
      <c r="C1469" s="51"/>
      <c r="D1469" s="51"/>
      <c r="E1469" s="51"/>
      <c r="F1469" s="51"/>
    </row>
    <row r="1470" spans="1:6" s="69" customFormat="1" ht="12" customHeight="1" x14ac:dyDescent="0.3">
      <c r="A1470" s="57"/>
      <c r="B1470" s="51"/>
      <c r="C1470" s="51"/>
      <c r="D1470" s="51"/>
      <c r="E1470" s="51"/>
      <c r="F1470" s="51"/>
    </row>
    <row r="1471" spans="1:6" s="69" customFormat="1" ht="12" customHeight="1" x14ac:dyDescent="0.3">
      <c r="A1471" s="57"/>
      <c r="B1471" s="51"/>
      <c r="C1471" s="51"/>
      <c r="D1471" s="51"/>
      <c r="E1471" s="51"/>
      <c r="F1471" s="51"/>
    </row>
    <row r="1472" spans="1:6" s="69" customFormat="1" ht="12" customHeight="1" x14ac:dyDescent="0.3">
      <c r="A1472" s="57"/>
      <c r="B1472" s="51"/>
      <c r="C1472" s="51"/>
      <c r="D1472" s="51"/>
      <c r="E1472" s="51"/>
      <c r="F1472" s="51"/>
    </row>
    <row r="1473" spans="1:6" s="69" customFormat="1" ht="12" customHeight="1" x14ac:dyDescent="0.3">
      <c r="A1473" s="57"/>
      <c r="B1473" s="51"/>
      <c r="C1473" s="51"/>
      <c r="D1473" s="51"/>
      <c r="E1473" s="51"/>
      <c r="F1473" s="51"/>
    </row>
    <row r="1474" spans="1:6" s="69" customFormat="1" ht="12" customHeight="1" x14ac:dyDescent="0.3">
      <c r="A1474" s="57"/>
      <c r="B1474" s="51"/>
      <c r="C1474" s="51"/>
      <c r="D1474" s="51"/>
      <c r="E1474" s="51"/>
      <c r="F1474" s="51"/>
    </row>
    <row r="1475" spans="1:6" s="69" customFormat="1" ht="12" customHeight="1" x14ac:dyDescent="0.3">
      <c r="A1475" s="57"/>
      <c r="B1475" s="51"/>
      <c r="C1475" s="51"/>
      <c r="D1475" s="51"/>
      <c r="E1475" s="51"/>
      <c r="F1475" s="51"/>
    </row>
    <row r="1476" spans="1:6" s="69" customFormat="1" ht="12" customHeight="1" x14ac:dyDescent="0.3">
      <c r="A1476" s="57"/>
      <c r="B1476" s="51"/>
      <c r="C1476" s="51"/>
      <c r="D1476" s="51"/>
      <c r="E1476" s="51"/>
      <c r="F1476" s="51"/>
    </row>
    <row r="1477" spans="1:6" s="69" customFormat="1" ht="12" customHeight="1" x14ac:dyDescent="0.3">
      <c r="A1477" s="57"/>
      <c r="B1477" s="51"/>
      <c r="C1477" s="51"/>
      <c r="D1477" s="51"/>
      <c r="E1477" s="51"/>
      <c r="F1477" s="51"/>
    </row>
    <row r="1478" spans="1:6" s="69" customFormat="1" ht="12" customHeight="1" x14ac:dyDescent="0.3">
      <c r="A1478" s="57"/>
      <c r="B1478" s="51"/>
      <c r="C1478" s="51"/>
      <c r="D1478" s="51"/>
      <c r="E1478" s="51"/>
      <c r="F1478" s="51"/>
    </row>
    <row r="1479" spans="1:6" s="69" customFormat="1" ht="12" customHeight="1" x14ac:dyDescent="0.3">
      <c r="A1479" s="57"/>
      <c r="B1479" s="51"/>
      <c r="C1479" s="51"/>
      <c r="D1479" s="51"/>
      <c r="E1479" s="51"/>
      <c r="F1479" s="51"/>
    </row>
    <row r="1480" spans="1:6" s="69" customFormat="1" ht="12" customHeight="1" x14ac:dyDescent="0.3">
      <c r="A1480" s="57"/>
      <c r="B1480" s="51"/>
      <c r="C1480" s="51"/>
      <c r="D1480" s="51"/>
      <c r="E1480" s="51"/>
      <c r="F1480" s="51"/>
    </row>
    <row r="1481" spans="1:6" s="69" customFormat="1" ht="12" customHeight="1" x14ac:dyDescent="0.3">
      <c r="A1481" s="57"/>
      <c r="B1481" s="51"/>
      <c r="C1481" s="51"/>
      <c r="D1481" s="51"/>
      <c r="E1481" s="51"/>
      <c r="F1481" s="51"/>
    </row>
    <row r="1482" spans="1:6" s="69" customFormat="1" ht="12" customHeight="1" x14ac:dyDescent="0.3">
      <c r="A1482" s="57"/>
      <c r="B1482" s="51"/>
      <c r="C1482" s="51"/>
      <c r="D1482" s="51"/>
      <c r="E1482" s="51"/>
      <c r="F1482" s="51"/>
    </row>
    <row r="1483" spans="1:6" s="69" customFormat="1" ht="12" customHeight="1" x14ac:dyDescent="0.3">
      <c r="A1483" s="57"/>
      <c r="B1483" s="51"/>
      <c r="C1483" s="51"/>
      <c r="D1483" s="51"/>
      <c r="E1483" s="51"/>
      <c r="F1483" s="51"/>
    </row>
    <row r="1484" spans="1:6" s="69" customFormat="1" ht="12" customHeight="1" x14ac:dyDescent="0.3">
      <c r="A1484" s="57"/>
      <c r="B1484" s="51"/>
      <c r="C1484" s="51"/>
      <c r="D1484" s="51"/>
      <c r="E1484" s="51"/>
      <c r="F1484" s="51"/>
    </row>
    <row r="1485" spans="1:6" s="69" customFormat="1" ht="12" customHeight="1" x14ac:dyDescent="0.3">
      <c r="A1485" s="57"/>
      <c r="B1485" s="51"/>
      <c r="C1485" s="51"/>
      <c r="D1485" s="51"/>
      <c r="E1485" s="51"/>
      <c r="F1485" s="51"/>
    </row>
    <row r="1486" spans="1:6" s="69" customFormat="1" ht="12" customHeight="1" x14ac:dyDescent="0.3">
      <c r="A1486" s="57"/>
      <c r="B1486" s="51"/>
      <c r="C1486" s="51"/>
      <c r="D1486" s="51"/>
      <c r="E1486" s="51"/>
      <c r="F1486" s="51"/>
    </row>
    <row r="1487" spans="1:6" s="69" customFormat="1" ht="12" customHeight="1" x14ac:dyDescent="0.3">
      <c r="A1487" s="57"/>
      <c r="B1487" s="51"/>
      <c r="C1487" s="51"/>
      <c r="D1487" s="51"/>
      <c r="E1487" s="51"/>
      <c r="F1487" s="51"/>
    </row>
    <row r="1488" spans="1:6" s="69" customFormat="1" ht="12" customHeight="1" x14ac:dyDescent="0.3">
      <c r="A1488" s="57"/>
      <c r="B1488" s="51"/>
      <c r="C1488" s="51"/>
      <c r="D1488" s="51"/>
      <c r="E1488" s="51"/>
      <c r="F1488" s="51"/>
    </row>
    <row r="1489" spans="1:6" s="69" customFormat="1" ht="12" customHeight="1" x14ac:dyDescent="0.3">
      <c r="A1489" s="57"/>
      <c r="B1489" s="51"/>
      <c r="C1489" s="51"/>
      <c r="D1489" s="51"/>
      <c r="E1489" s="51"/>
      <c r="F1489" s="51"/>
    </row>
    <row r="1490" spans="1:6" s="69" customFormat="1" ht="12" customHeight="1" x14ac:dyDescent="0.3">
      <c r="A1490" s="57"/>
      <c r="B1490" s="51"/>
      <c r="C1490" s="51"/>
      <c r="D1490" s="51"/>
      <c r="E1490" s="51"/>
      <c r="F1490" s="51"/>
    </row>
    <row r="1491" spans="1:6" s="69" customFormat="1" ht="12" customHeight="1" x14ac:dyDescent="0.3">
      <c r="A1491" s="57"/>
      <c r="B1491" s="51"/>
      <c r="C1491" s="51"/>
      <c r="D1491" s="51"/>
      <c r="E1491" s="51"/>
      <c r="F1491" s="51"/>
    </row>
    <row r="1492" spans="1:6" s="69" customFormat="1" ht="12" customHeight="1" x14ac:dyDescent="0.3">
      <c r="A1492" s="57"/>
      <c r="B1492" s="51"/>
      <c r="C1492" s="51"/>
      <c r="D1492" s="51"/>
      <c r="E1492" s="51"/>
      <c r="F1492" s="51"/>
    </row>
    <row r="1493" spans="1:6" s="69" customFormat="1" ht="12" customHeight="1" x14ac:dyDescent="0.3">
      <c r="A1493" s="57"/>
      <c r="B1493" s="51"/>
      <c r="C1493" s="51"/>
      <c r="D1493" s="51"/>
      <c r="E1493" s="51"/>
      <c r="F1493" s="51"/>
    </row>
    <row r="1494" spans="1:6" s="69" customFormat="1" ht="12" customHeight="1" x14ac:dyDescent="0.3">
      <c r="A1494" s="57"/>
      <c r="B1494" s="51"/>
      <c r="C1494" s="51"/>
      <c r="D1494" s="51"/>
      <c r="E1494" s="51"/>
      <c r="F1494" s="51"/>
    </row>
    <row r="1495" spans="1:6" s="69" customFormat="1" ht="12" customHeight="1" x14ac:dyDescent="0.3">
      <c r="A1495" s="57"/>
      <c r="B1495" s="51"/>
      <c r="C1495" s="51"/>
      <c r="D1495" s="51"/>
      <c r="E1495" s="51"/>
      <c r="F1495" s="51"/>
    </row>
    <row r="1496" spans="1:6" s="69" customFormat="1" ht="12" customHeight="1" x14ac:dyDescent="0.3">
      <c r="A1496" s="57"/>
      <c r="B1496" s="51"/>
      <c r="C1496" s="51"/>
      <c r="D1496" s="51"/>
      <c r="E1496" s="51"/>
      <c r="F1496" s="51"/>
    </row>
    <row r="1497" spans="1:6" s="69" customFormat="1" ht="12" customHeight="1" x14ac:dyDescent="0.3">
      <c r="A1497" s="57"/>
      <c r="B1497" s="51"/>
      <c r="C1497" s="51"/>
      <c r="D1497" s="51"/>
      <c r="E1497" s="51"/>
      <c r="F1497" s="51"/>
    </row>
    <row r="1498" spans="1:6" s="69" customFormat="1" ht="12" customHeight="1" x14ac:dyDescent="0.3">
      <c r="A1498" s="57"/>
      <c r="B1498" s="51"/>
      <c r="C1498" s="51"/>
      <c r="D1498" s="51"/>
      <c r="E1498" s="51"/>
      <c r="F1498" s="51"/>
    </row>
    <row r="1499" spans="1:6" s="69" customFormat="1" ht="12" customHeight="1" x14ac:dyDescent="0.3">
      <c r="A1499" s="57"/>
      <c r="B1499" s="51"/>
      <c r="C1499" s="51"/>
      <c r="D1499" s="51"/>
      <c r="E1499" s="51"/>
      <c r="F1499" s="51"/>
    </row>
    <row r="1500" spans="1:6" s="69" customFormat="1" ht="12" customHeight="1" x14ac:dyDescent="0.3">
      <c r="A1500" s="57"/>
      <c r="B1500" s="51"/>
      <c r="C1500" s="51"/>
      <c r="D1500" s="51"/>
      <c r="E1500" s="51"/>
      <c r="F1500" s="51"/>
    </row>
    <row r="1501" spans="1:6" s="69" customFormat="1" ht="12" customHeight="1" x14ac:dyDescent="0.3">
      <c r="A1501" s="57"/>
      <c r="B1501" s="51"/>
      <c r="C1501" s="51"/>
      <c r="D1501" s="51"/>
      <c r="E1501" s="51"/>
      <c r="F1501" s="51"/>
    </row>
    <row r="1502" spans="1:6" s="69" customFormat="1" ht="12" customHeight="1" x14ac:dyDescent="0.3">
      <c r="A1502" s="57"/>
      <c r="B1502" s="51"/>
      <c r="C1502" s="51"/>
      <c r="D1502" s="51"/>
      <c r="E1502" s="51"/>
      <c r="F1502" s="51"/>
    </row>
    <row r="1503" spans="1:6" s="69" customFormat="1" ht="12" customHeight="1" x14ac:dyDescent="0.3">
      <c r="A1503" s="57"/>
      <c r="B1503" s="51"/>
      <c r="C1503" s="51"/>
      <c r="D1503" s="51"/>
      <c r="E1503" s="51"/>
      <c r="F1503" s="51"/>
    </row>
    <row r="1504" spans="1:6" s="69" customFormat="1" ht="12" customHeight="1" x14ac:dyDescent="0.3">
      <c r="A1504" s="57"/>
      <c r="B1504" s="51"/>
      <c r="C1504" s="51"/>
      <c r="D1504" s="51"/>
      <c r="E1504" s="51"/>
      <c r="F1504" s="51"/>
    </row>
    <row r="1505" spans="1:6" s="69" customFormat="1" ht="12" customHeight="1" x14ac:dyDescent="0.3">
      <c r="A1505" s="57"/>
      <c r="B1505" s="51"/>
      <c r="C1505" s="51"/>
      <c r="D1505" s="51"/>
      <c r="E1505" s="51"/>
      <c r="F1505" s="51"/>
    </row>
    <row r="1506" spans="1:6" s="69" customFormat="1" ht="12" customHeight="1" x14ac:dyDescent="0.3">
      <c r="A1506" s="57"/>
      <c r="B1506" s="51"/>
      <c r="C1506" s="51"/>
      <c r="D1506" s="51"/>
      <c r="E1506" s="51"/>
      <c r="F1506" s="51"/>
    </row>
    <row r="1507" spans="1:6" s="69" customFormat="1" ht="12" customHeight="1" x14ac:dyDescent="0.3">
      <c r="A1507" s="57"/>
      <c r="B1507" s="51"/>
      <c r="C1507" s="51"/>
      <c r="D1507" s="51"/>
      <c r="E1507" s="51"/>
      <c r="F1507" s="51"/>
    </row>
    <row r="1508" spans="1:6" s="69" customFormat="1" ht="12" customHeight="1" x14ac:dyDescent="0.3">
      <c r="A1508" s="57"/>
      <c r="B1508" s="51"/>
      <c r="C1508" s="51"/>
      <c r="D1508" s="51"/>
      <c r="E1508" s="51"/>
      <c r="F1508" s="51"/>
    </row>
    <row r="1509" spans="1:6" s="69" customFormat="1" ht="12" customHeight="1" x14ac:dyDescent="0.3">
      <c r="A1509" s="57"/>
      <c r="B1509" s="51"/>
      <c r="C1509" s="51"/>
      <c r="D1509" s="51"/>
      <c r="E1509" s="51"/>
      <c r="F1509" s="51"/>
    </row>
    <row r="1510" spans="1:6" s="69" customFormat="1" ht="12" customHeight="1" x14ac:dyDescent="0.3">
      <c r="A1510" s="57"/>
      <c r="B1510" s="51"/>
      <c r="C1510" s="51"/>
      <c r="D1510" s="51"/>
      <c r="E1510" s="51"/>
      <c r="F1510" s="51"/>
    </row>
    <row r="1511" spans="1:6" s="69" customFormat="1" ht="12" customHeight="1" x14ac:dyDescent="0.3">
      <c r="A1511" s="57"/>
      <c r="B1511" s="51"/>
      <c r="C1511" s="51"/>
      <c r="D1511" s="51"/>
      <c r="E1511" s="51"/>
      <c r="F1511" s="51"/>
    </row>
    <row r="1512" spans="1:6" s="69" customFormat="1" ht="12" customHeight="1" x14ac:dyDescent="0.3">
      <c r="A1512" s="57"/>
      <c r="B1512" s="51"/>
      <c r="C1512" s="51"/>
      <c r="D1512" s="51"/>
      <c r="E1512" s="51"/>
      <c r="F1512" s="51"/>
    </row>
    <row r="1513" spans="1:6" s="69" customFormat="1" ht="12" customHeight="1" x14ac:dyDescent="0.3">
      <c r="A1513" s="57"/>
      <c r="B1513" s="51"/>
      <c r="C1513" s="51"/>
      <c r="D1513" s="51"/>
      <c r="E1513" s="51"/>
      <c r="F1513" s="51"/>
    </row>
    <row r="1514" spans="1:6" s="69" customFormat="1" ht="12" customHeight="1" x14ac:dyDescent="0.3">
      <c r="A1514" s="57"/>
      <c r="B1514" s="51"/>
      <c r="C1514" s="51"/>
      <c r="D1514" s="51"/>
      <c r="E1514" s="51"/>
      <c r="F1514" s="51"/>
    </row>
    <row r="1515" spans="1:6" s="69" customFormat="1" ht="12" customHeight="1" x14ac:dyDescent="0.3">
      <c r="A1515" s="57"/>
      <c r="B1515" s="51"/>
      <c r="C1515" s="51"/>
      <c r="D1515" s="51"/>
      <c r="E1515" s="51"/>
      <c r="F1515" s="51"/>
    </row>
    <row r="1516" spans="1:6" s="69" customFormat="1" ht="12" customHeight="1" x14ac:dyDescent="0.3">
      <c r="A1516" s="57"/>
      <c r="B1516" s="51"/>
      <c r="C1516" s="51"/>
      <c r="D1516" s="51"/>
      <c r="E1516" s="51"/>
      <c r="F1516" s="51"/>
    </row>
    <row r="1517" spans="1:6" s="69" customFormat="1" ht="12" customHeight="1" x14ac:dyDescent="0.3">
      <c r="A1517" s="57"/>
      <c r="B1517" s="51"/>
      <c r="C1517" s="51"/>
      <c r="D1517" s="51"/>
      <c r="E1517" s="51"/>
      <c r="F1517" s="51"/>
    </row>
    <row r="1518" spans="1:6" s="69" customFormat="1" ht="12" customHeight="1" x14ac:dyDescent="0.3">
      <c r="A1518" s="57"/>
      <c r="B1518" s="51"/>
      <c r="C1518" s="51"/>
      <c r="D1518" s="51"/>
      <c r="E1518" s="51"/>
      <c r="F1518" s="51"/>
    </row>
    <row r="1519" spans="1:6" s="69" customFormat="1" ht="12" customHeight="1" x14ac:dyDescent="0.3">
      <c r="A1519" s="57"/>
      <c r="B1519" s="51"/>
      <c r="C1519" s="51"/>
      <c r="D1519" s="51"/>
      <c r="E1519" s="51"/>
      <c r="F1519" s="51"/>
    </row>
    <row r="1520" spans="1:6" s="69" customFormat="1" ht="12" customHeight="1" x14ac:dyDescent="0.3">
      <c r="A1520" s="57"/>
      <c r="B1520" s="51"/>
      <c r="C1520" s="51"/>
      <c r="D1520" s="51"/>
      <c r="E1520" s="51"/>
      <c r="F1520" s="51"/>
    </row>
    <row r="1521" spans="1:6" s="69" customFormat="1" ht="12" customHeight="1" x14ac:dyDescent="0.3">
      <c r="A1521" s="57"/>
      <c r="B1521" s="51"/>
      <c r="C1521" s="51"/>
      <c r="D1521" s="51"/>
      <c r="E1521" s="51"/>
      <c r="F1521" s="51"/>
    </row>
    <row r="1522" spans="1:6" s="69" customFormat="1" ht="12" customHeight="1" x14ac:dyDescent="0.3">
      <c r="A1522" s="57"/>
      <c r="B1522" s="51"/>
      <c r="C1522" s="51"/>
      <c r="D1522" s="51"/>
      <c r="E1522" s="51"/>
      <c r="F1522" s="51"/>
    </row>
    <row r="1523" spans="1:6" s="69" customFormat="1" ht="12" customHeight="1" x14ac:dyDescent="0.3">
      <c r="A1523" s="57"/>
      <c r="B1523" s="51"/>
      <c r="C1523" s="51"/>
      <c r="D1523" s="51"/>
      <c r="E1523" s="51"/>
      <c r="F1523" s="51"/>
    </row>
    <row r="1524" spans="1:6" s="69" customFormat="1" ht="12" customHeight="1" x14ac:dyDescent="0.3">
      <c r="A1524" s="57"/>
      <c r="B1524" s="51"/>
      <c r="C1524" s="51"/>
      <c r="D1524" s="51"/>
      <c r="E1524" s="51"/>
      <c r="F1524" s="51"/>
    </row>
    <row r="1525" spans="1:6" s="69" customFormat="1" ht="12" customHeight="1" x14ac:dyDescent="0.3">
      <c r="A1525" s="57"/>
      <c r="B1525" s="51"/>
      <c r="C1525" s="51"/>
      <c r="D1525" s="51"/>
      <c r="E1525" s="51"/>
      <c r="F1525" s="51"/>
    </row>
    <row r="1526" spans="1:6" s="69" customFormat="1" ht="12" customHeight="1" x14ac:dyDescent="0.3">
      <c r="A1526" s="57"/>
      <c r="B1526" s="51"/>
      <c r="C1526" s="51"/>
      <c r="D1526" s="51"/>
      <c r="E1526" s="51"/>
      <c r="F1526" s="51"/>
    </row>
    <row r="1527" spans="1:6" s="69" customFormat="1" ht="12" customHeight="1" x14ac:dyDescent="0.3">
      <c r="A1527" s="57"/>
      <c r="B1527" s="51"/>
      <c r="C1527" s="51"/>
      <c r="D1527" s="51"/>
      <c r="E1527" s="51"/>
      <c r="F1527" s="51"/>
    </row>
    <row r="1528" spans="1:6" s="69" customFormat="1" ht="12" customHeight="1" x14ac:dyDescent="0.3">
      <c r="A1528" s="57"/>
      <c r="B1528" s="51"/>
      <c r="C1528" s="51"/>
      <c r="D1528" s="51"/>
      <c r="E1528" s="51"/>
      <c r="F1528" s="51"/>
    </row>
    <row r="1529" spans="1:6" s="69" customFormat="1" ht="12" customHeight="1" x14ac:dyDescent="0.3">
      <c r="A1529" s="57"/>
      <c r="B1529" s="51"/>
      <c r="C1529" s="51"/>
      <c r="D1529" s="51"/>
      <c r="E1529" s="51"/>
      <c r="F1529" s="51"/>
    </row>
    <row r="1530" spans="1:6" s="69" customFormat="1" ht="12" customHeight="1" x14ac:dyDescent="0.3">
      <c r="A1530" s="57"/>
      <c r="B1530" s="51"/>
      <c r="C1530" s="51"/>
      <c r="D1530" s="51"/>
      <c r="E1530" s="51"/>
      <c r="F1530" s="51"/>
    </row>
    <row r="1531" spans="1:6" s="69" customFormat="1" ht="12" customHeight="1" x14ac:dyDescent="0.3">
      <c r="A1531" s="57"/>
      <c r="B1531" s="51"/>
      <c r="C1531" s="51"/>
      <c r="D1531" s="51"/>
      <c r="E1531" s="51"/>
      <c r="F1531" s="51"/>
    </row>
    <row r="1532" spans="1:6" s="69" customFormat="1" ht="12" customHeight="1" x14ac:dyDescent="0.3">
      <c r="A1532" s="57"/>
      <c r="B1532" s="51"/>
      <c r="C1532" s="51"/>
      <c r="D1532" s="51"/>
      <c r="E1532" s="51"/>
      <c r="F1532" s="51"/>
    </row>
    <row r="1533" spans="1:6" s="69" customFormat="1" ht="12" customHeight="1" x14ac:dyDescent="0.3">
      <c r="A1533" s="57"/>
      <c r="B1533" s="51"/>
      <c r="C1533" s="51"/>
      <c r="D1533" s="51"/>
      <c r="E1533" s="51"/>
      <c r="F1533" s="51"/>
    </row>
    <row r="1534" spans="1:6" s="69" customFormat="1" ht="12" customHeight="1" x14ac:dyDescent="0.3">
      <c r="A1534" s="57"/>
      <c r="B1534" s="51"/>
      <c r="C1534" s="51"/>
      <c r="D1534" s="51"/>
      <c r="E1534" s="51"/>
      <c r="F1534" s="51"/>
    </row>
    <row r="1535" spans="1:6" s="69" customFormat="1" ht="12" customHeight="1" x14ac:dyDescent="0.3">
      <c r="A1535" s="57"/>
      <c r="B1535" s="51"/>
      <c r="C1535" s="51"/>
      <c r="D1535" s="51"/>
      <c r="E1535" s="51"/>
      <c r="F1535" s="51"/>
    </row>
    <row r="1536" spans="1:6" s="69" customFormat="1" ht="12" customHeight="1" x14ac:dyDescent="0.3">
      <c r="A1536" s="57"/>
      <c r="B1536" s="51"/>
      <c r="C1536" s="51"/>
      <c r="D1536" s="51"/>
      <c r="E1536" s="51"/>
      <c r="F1536" s="51"/>
    </row>
    <row r="1537" spans="1:6" s="69" customFormat="1" ht="12" customHeight="1" x14ac:dyDescent="0.3">
      <c r="A1537" s="57"/>
      <c r="B1537" s="51"/>
      <c r="C1537" s="51"/>
      <c r="D1537" s="51"/>
      <c r="E1537" s="51"/>
      <c r="F1537" s="51"/>
    </row>
    <row r="1538" spans="1:6" s="69" customFormat="1" ht="12" customHeight="1" x14ac:dyDescent="0.3">
      <c r="A1538" s="57"/>
      <c r="B1538" s="51"/>
      <c r="C1538" s="51"/>
      <c r="D1538" s="51"/>
      <c r="E1538" s="51"/>
      <c r="F1538" s="51"/>
    </row>
    <row r="1539" spans="1:6" s="69" customFormat="1" ht="12" customHeight="1" x14ac:dyDescent="0.3">
      <c r="A1539" s="57"/>
      <c r="B1539" s="51"/>
      <c r="C1539" s="51"/>
      <c r="D1539" s="51"/>
      <c r="E1539" s="51"/>
      <c r="F1539" s="51"/>
    </row>
    <row r="1540" spans="1:6" s="69" customFormat="1" ht="12" customHeight="1" x14ac:dyDescent="0.3">
      <c r="A1540" s="57"/>
      <c r="B1540" s="51"/>
      <c r="C1540" s="51"/>
      <c r="D1540" s="51"/>
      <c r="E1540" s="51"/>
      <c r="F1540" s="51"/>
    </row>
    <row r="1541" spans="1:6" s="69" customFormat="1" ht="12" customHeight="1" x14ac:dyDescent="0.3">
      <c r="A1541" s="57"/>
      <c r="B1541" s="51"/>
      <c r="C1541" s="51"/>
      <c r="D1541" s="51"/>
      <c r="E1541" s="51"/>
      <c r="F1541" s="51"/>
    </row>
    <row r="1542" spans="1:6" s="69" customFormat="1" ht="12" customHeight="1" x14ac:dyDescent="0.3">
      <c r="A1542" s="57"/>
      <c r="B1542" s="51"/>
      <c r="C1542" s="51"/>
      <c r="D1542" s="51"/>
      <c r="E1542" s="51"/>
      <c r="F1542" s="51"/>
    </row>
    <row r="1543" spans="1:6" s="69" customFormat="1" ht="12" customHeight="1" x14ac:dyDescent="0.3">
      <c r="A1543" s="57"/>
      <c r="B1543" s="51"/>
      <c r="C1543" s="51"/>
      <c r="D1543" s="51"/>
      <c r="E1543" s="51"/>
      <c r="F1543" s="51"/>
    </row>
    <row r="1544" spans="1:6" s="69" customFormat="1" ht="12" customHeight="1" x14ac:dyDescent="0.3">
      <c r="A1544" s="57"/>
      <c r="B1544" s="51"/>
      <c r="C1544" s="51"/>
      <c r="D1544" s="51"/>
      <c r="E1544" s="51"/>
      <c r="F1544" s="51"/>
    </row>
    <row r="1545" spans="1:6" s="69" customFormat="1" ht="12" customHeight="1" x14ac:dyDescent="0.3">
      <c r="A1545" s="57"/>
      <c r="B1545" s="51"/>
      <c r="C1545" s="51"/>
      <c r="D1545" s="51"/>
      <c r="E1545" s="51"/>
      <c r="F1545" s="51"/>
    </row>
    <row r="1546" spans="1:6" s="69" customFormat="1" ht="12" customHeight="1" x14ac:dyDescent="0.3">
      <c r="A1546" s="57"/>
      <c r="B1546" s="51"/>
      <c r="C1546" s="51"/>
      <c r="D1546" s="51"/>
      <c r="E1546" s="51"/>
      <c r="F1546" s="51"/>
    </row>
    <row r="1547" spans="1:6" s="69" customFormat="1" ht="12" customHeight="1" x14ac:dyDescent="0.3">
      <c r="A1547" s="57"/>
      <c r="B1547" s="51"/>
      <c r="C1547" s="51"/>
      <c r="D1547" s="51"/>
      <c r="E1547" s="51"/>
      <c r="F1547" s="51"/>
    </row>
    <row r="1548" spans="1:6" s="69" customFormat="1" ht="12" customHeight="1" x14ac:dyDescent="0.3">
      <c r="A1548" s="57"/>
      <c r="B1548" s="51"/>
      <c r="C1548" s="51"/>
      <c r="D1548" s="51"/>
      <c r="E1548" s="51"/>
      <c r="F1548" s="51"/>
    </row>
    <row r="1549" spans="1:6" s="69" customFormat="1" ht="12" customHeight="1" x14ac:dyDescent="0.3">
      <c r="A1549" s="57"/>
      <c r="B1549" s="51"/>
      <c r="C1549" s="51"/>
      <c r="D1549" s="51"/>
      <c r="E1549" s="51"/>
      <c r="F1549" s="51"/>
    </row>
    <row r="1550" spans="1:6" s="69" customFormat="1" ht="12" customHeight="1" x14ac:dyDescent="0.3">
      <c r="A1550" s="57"/>
      <c r="B1550" s="51"/>
      <c r="C1550" s="51"/>
      <c r="D1550" s="51"/>
      <c r="E1550" s="51"/>
      <c r="F1550" s="51"/>
    </row>
    <row r="1551" spans="1:6" s="69" customFormat="1" ht="12" customHeight="1" x14ac:dyDescent="0.3">
      <c r="A1551" s="57"/>
      <c r="B1551" s="51"/>
      <c r="C1551" s="51"/>
      <c r="D1551" s="51"/>
      <c r="E1551" s="51"/>
      <c r="F1551" s="51"/>
    </row>
    <row r="1552" spans="1:6" s="69" customFormat="1" ht="12" customHeight="1" x14ac:dyDescent="0.3">
      <c r="A1552" s="57"/>
      <c r="B1552" s="51"/>
      <c r="C1552" s="51"/>
      <c r="D1552" s="51"/>
      <c r="E1552" s="51"/>
      <c r="F1552" s="51"/>
    </row>
    <row r="1553" spans="1:6" s="69" customFormat="1" ht="12" customHeight="1" x14ac:dyDescent="0.3">
      <c r="A1553" s="57"/>
      <c r="B1553" s="51"/>
      <c r="C1553" s="51"/>
      <c r="D1553" s="51"/>
      <c r="E1553" s="51"/>
      <c r="F1553" s="51"/>
    </row>
    <row r="1554" spans="1:6" s="69" customFormat="1" ht="12" customHeight="1" x14ac:dyDescent="0.3">
      <c r="A1554" s="57"/>
      <c r="B1554" s="51"/>
      <c r="C1554" s="51"/>
      <c r="D1554" s="51"/>
      <c r="E1554" s="51"/>
      <c r="F1554" s="51"/>
    </row>
    <row r="1555" spans="1:6" s="69" customFormat="1" ht="12" customHeight="1" x14ac:dyDescent="0.3">
      <c r="A1555" s="57"/>
      <c r="B1555" s="51"/>
      <c r="C1555" s="51"/>
      <c r="D1555" s="51"/>
      <c r="E1555" s="51"/>
      <c r="F1555" s="51"/>
    </row>
    <row r="1556" spans="1:6" s="69" customFormat="1" ht="12" customHeight="1" x14ac:dyDescent="0.3">
      <c r="A1556" s="57"/>
      <c r="B1556" s="51"/>
      <c r="C1556" s="51"/>
      <c r="D1556" s="51"/>
      <c r="E1556" s="51"/>
      <c r="F1556" s="51"/>
    </row>
    <row r="1557" spans="1:6" s="69" customFormat="1" ht="12" customHeight="1" x14ac:dyDescent="0.3">
      <c r="A1557" s="57"/>
      <c r="B1557" s="51"/>
      <c r="C1557" s="51"/>
      <c r="D1557" s="51"/>
      <c r="E1557" s="51"/>
      <c r="F1557" s="51"/>
    </row>
    <row r="1558" spans="1:6" s="69" customFormat="1" ht="12" customHeight="1" x14ac:dyDescent="0.3">
      <c r="A1558" s="57"/>
      <c r="B1558" s="51"/>
      <c r="C1558" s="51"/>
      <c r="D1558" s="51"/>
      <c r="E1558" s="51"/>
      <c r="F1558" s="51"/>
    </row>
    <row r="1559" spans="1:6" s="69" customFormat="1" ht="12" customHeight="1" x14ac:dyDescent="0.3">
      <c r="A1559" s="57"/>
      <c r="B1559" s="51"/>
      <c r="C1559" s="51"/>
      <c r="D1559" s="51"/>
      <c r="E1559" s="51"/>
      <c r="F1559" s="51"/>
    </row>
    <row r="1560" spans="1:6" s="69" customFormat="1" ht="12" customHeight="1" x14ac:dyDescent="0.3">
      <c r="A1560" s="57"/>
      <c r="B1560" s="51"/>
      <c r="C1560" s="51"/>
      <c r="D1560" s="51"/>
      <c r="E1560" s="51"/>
      <c r="F1560" s="51"/>
    </row>
    <row r="1561" spans="1:6" s="69" customFormat="1" ht="12" customHeight="1" x14ac:dyDescent="0.3">
      <c r="A1561" s="57"/>
      <c r="B1561" s="51"/>
      <c r="C1561" s="51"/>
      <c r="D1561" s="51"/>
      <c r="E1561" s="51"/>
      <c r="F1561" s="51"/>
    </row>
    <row r="1562" spans="1:6" s="69" customFormat="1" ht="12" customHeight="1" x14ac:dyDescent="0.3">
      <c r="A1562" s="57"/>
      <c r="B1562" s="51"/>
      <c r="C1562" s="51"/>
      <c r="D1562" s="51"/>
      <c r="E1562" s="51"/>
      <c r="F1562" s="51"/>
    </row>
    <row r="1563" spans="1:6" s="69" customFormat="1" ht="12" customHeight="1" x14ac:dyDescent="0.3">
      <c r="A1563" s="57"/>
      <c r="B1563" s="51"/>
      <c r="C1563" s="51"/>
      <c r="D1563" s="51"/>
      <c r="E1563" s="51"/>
      <c r="F1563" s="51"/>
    </row>
    <row r="1564" spans="1:6" s="69" customFormat="1" ht="12" customHeight="1" x14ac:dyDescent="0.3">
      <c r="A1564" s="57"/>
      <c r="B1564" s="51"/>
      <c r="C1564" s="51"/>
      <c r="D1564" s="51"/>
      <c r="E1564" s="51"/>
      <c r="F1564" s="51"/>
    </row>
    <row r="1565" spans="1:6" s="69" customFormat="1" ht="12" customHeight="1" x14ac:dyDescent="0.3">
      <c r="A1565" s="57"/>
      <c r="B1565" s="51"/>
      <c r="C1565" s="51"/>
      <c r="D1565" s="51"/>
      <c r="E1565" s="51"/>
      <c r="F1565" s="51"/>
    </row>
    <row r="1566" spans="1:6" s="69" customFormat="1" ht="12" customHeight="1" x14ac:dyDescent="0.3">
      <c r="A1566" s="57"/>
      <c r="B1566" s="51"/>
      <c r="C1566" s="51"/>
      <c r="D1566" s="51"/>
      <c r="E1566" s="51"/>
      <c r="F1566" s="51"/>
    </row>
    <row r="1567" spans="1:6" s="69" customFormat="1" ht="12" customHeight="1" x14ac:dyDescent="0.3">
      <c r="A1567" s="57"/>
      <c r="B1567" s="51"/>
      <c r="C1567" s="51"/>
      <c r="D1567" s="51"/>
      <c r="E1567" s="51"/>
      <c r="F1567" s="51"/>
    </row>
    <row r="1568" spans="1:6" s="69" customFormat="1" ht="12" customHeight="1" x14ac:dyDescent="0.3">
      <c r="A1568" s="57"/>
      <c r="B1568" s="51"/>
      <c r="C1568" s="51"/>
      <c r="D1568" s="51"/>
      <c r="E1568" s="51"/>
      <c r="F1568" s="51"/>
    </row>
    <row r="1569" spans="1:6" s="69" customFormat="1" ht="12" customHeight="1" x14ac:dyDescent="0.3">
      <c r="A1569" s="57"/>
      <c r="B1569" s="51"/>
      <c r="C1569" s="51"/>
      <c r="D1569" s="51"/>
      <c r="E1569" s="51"/>
      <c r="F1569" s="51"/>
    </row>
    <row r="1570" spans="1:6" s="69" customFormat="1" ht="12" customHeight="1" x14ac:dyDescent="0.3">
      <c r="A1570" s="57"/>
      <c r="B1570" s="51"/>
      <c r="C1570" s="51"/>
      <c r="D1570" s="51"/>
      <c r="E1570" s="51"/>
      <c r="F1570" s="51"/>
    </row>
    <row r="1571" spans="1:6" s="69" customFormat="1" ht="12" customHeight="1" x14ac:dyDescent="0.3">
      <c r="A1571" s="57"/>
      <c r="B1571" s="51"/>
      <c r="C1571" s="51"/>
      <c r="D1571" s="51"/>
      <c r="E1571" s="51"/>
      <c r="F1571" s="51"/>
    </row>
    <row r="1572" spans="1:6" s="69" customFormat="1" ht="12" customHeight="1" x14ac:dyDescent="0.3">
      <c r="A1572" s="57"/>
      <c r="B1572" s="51"/>
      <c r="C1572" s="51"/>
      <c r="D1572" s="51"/>
      <c r="E1572" s="51"/>
      <c r="F1572" s="51"/>
    </row>
    <row r="1573" spans="1:6" s="69" customFormat="1" ht="12" customHeight="1" x14ac:dyDescent="0.3">
      <c r="A1573" s="57"/>
      <c r="B1573" s="51"/>
      <c r="C1573" s="51"/>
      <c r="D1573" s="51"/>
      <c r="E1573" s="51"/>
      <c r="F1573" s="51"/>
    </row>
    <row r="1574" spans="1:6" s="69" customFormat="1" ht="12" customHeight="1" x14ac:dyDescent="0.3">
      <c r="A1574" s="57"/>
      <c r="B1574" s="51"/>
      <c r="C1574" s="51"/>
      <c r="D1574" s="51"/>
      <c r="E1574" s="51"/>
      <c r="F1574" s="51"/>
    </row>
    <row r="1575" spans="1:6" s="69" customFormat="1" ht="12" customHeight="1" x14ac:dyDescent="0.3">
      <c r="A1575" s="57"/>
      <c r="B1575" s="51"/>
      <c r="C1575" s="51"/>
      <c r="D1575" s="51"/>
      <c r="E1575" s="51"/>
      <c r="F1575" s="51"/>
    </row>
    <row r="1576" spans="1:6" s="69" customFormat="1" ht="12" customHeight="1" x14ac:dyDescent="0.3">
      <c r="A1576" s="57"/>
      <c r="B1576" s="51"/>
      <c r="C1576" s="51"/>
      <c r="D1576" s="51"/>
      <c r="E1576" s="51"/>
      <c r="F1576" s="51"/>
    </row>
    <row r="1577" spans="1:6" s="69" customFormat="1" ht="12" customHeight="1" x14ac:dyDescent="0.3">
      <c r="A1577" s="57"/>
      <c r="B1577" s="51"/>
      <c r="C1577" s="51"/>
      <c r="D1577" s="51"/>
      <c r="E1577" s="51"/>
      <c r="F1577" s="51"/>
    </row>
    <row r="1578" spans="1:6" s="69" customFormat="1" ht="12" customHeight="1" x14ac:dyDescent="0.3">
      <c r="A1578" s="57"/>
      <c r="B1578" s="51"/>
      <c r="C1578" s="51"/>
      <c r="D1578" s="51"/>
      <c r="E1578" s="51"/>
      <c r="F1578" s="51"/>
    </row>
    <row r="1579" spans="1:6" s="69" customFormat="1" ht="12" customHeight="1" x14ac:dyDescent="0.3">
      <c r="A1579" s="57"/>
      <c r="B1579" s="51"/>
      <c r="C1579" s="51"/>
      <c r="D1579" s="51"/>
      <c r="E1579" s="51"/>
      <c r="F1579" s="51"/>
    </row>
    <row r="1580" spans="1:6" s="69" customFormat="1" ht="12" customHeight="1" x14ac:dyDescent="0.3">
      <c r="A1580" s="57"/>
      <c r="B1580" s="51"/>
      <c r="C1580" s="51"/>
      <c r="D1580" s="51"/>
      <c r="E1580" s="51"/>
      <c r="F1580" s="51"/>
    </row>
    <row r="1581" spans="1:6" s="69" customFormat="1" ht="12" customHeight="1" x14ac:dyDescent="0.3">
      <c r="A1581" s="57"/>
      <c r="B1581" s="51"/>
      <c r="C1581" s="51"/>
      <c r="D1581" s="51"/>
      <c r="E1581" s="51"/>
      <c r="F1581" s="51"/>
    </row>
    <row r="1582" spans="1:6" s="69" customFormat="1" ht="12" customHeight="1" x14ac:dyDescent="0.3">
      <c r="A1582" s="57"/>
      <c r="B1582" s="51"/>
      <c r="C1582" s="51"/>
      <c r="D1582" s="51"/>
      <c r="E1582" s="51"/>
      <c r="F1582" s="51"/>
    </row>
    <row r="1583" spans="1:6" s="69" customFormat="1" ht="12" customHeight="1" x14ac:dyDescent="0.3">
      <c r="A1583" s="57"/>
      <c r="B1583" s="51"/>
      <c r="C1583" s="51"/>
      <c r="D1583" s="51"/>
      <c r="E1583" s="51"/>
      <c r="F1583" s="51"/>
    </row>
    <row r="1584" spans="1:6" s="69" customFormat="1" ht="12" customHeight="1" x14ac:dyDescent="0.3">
      <c r="A1584" s="57"/>
      <c r="B1584" s="51"/>
      <c r="C1584" s="51"/>
      <c r="D1584" s="51"/>
      <c r="E1584" s="51"/>
      <c r="F1584" s="51"/>
    </row>
    <row r="1585" spans="1:6" s="69" customFormat="1" ht="12" customHeight="1" x14ac:dyDescent="0.3">
      <c r="A1585" s="57"/>
      <c r="B1585" s="51"/>
      <c r="C1585" s="51"/>
      <c r="D1585" s="51"/>
      <c r="E1585" s="51"/>
      <c r="F1585" s="51"/>
    </row>
    <row r="1586" spans="1:6" s="69" customFormat="1" ht="12" customHeight="1" x14ac:dyDescent="0.3">
      <c r="A1586" s="57"/>
      <c r="B1586" s="51"/>
      <c r="C1586" s="51"/>
      <c r="D1586" s="51"/>
      <c r="E1586" s="51"/>
      <c r="F1586" s="51"/>
    </row>
    <row r="1587" spans="1:6" s="69" customFormat="1" ht="12" customHeight="1" x14ac:dyDescent="0.3">
      <c r="A1587" s="57"/>
      <c r="B1587" s="51"/>
      <c r="C1587" s="51"/>
      <c r="D1587" s="51"/>
      <c r="E1587" s="51"/>
      <c r="F1587" s="51"/>
    </row>
    <row r="1588" spans="1:6" s="69" customFormat="1" ht="12" customHeight="1" x14ac:dyDescent="0.3">
      <c r="A1588" s="57"/>
      <c r="B1588" s="51"/>
      <c r="C1588" s="51"/>
      <c r="D1588" s="51"/>
      <c r="E1588" s="51"/>
      <c r="F1588" s="51"/>
    </row>
    <row r="1589" spans="1:6" s="69" customFormat="1" ht="12" customHeight="1" x14ac:dyDescent="0.3">
      <c r="A1589" s="57"/>
      <c r="B1589" s="51"/>
      <c r="C1589" s="51"/>
      <c r="D1589" s="51"/>
      <c r="E1589" s="51"/>
      <c r="F1589" s="51"/>
    </row>
    <row r="1590" spans="1:6" s="69" customFormat="1" ht="12" customHeight="1" x14ac:dyDescent="0.3">
      <c r="A1590" s="57"/>
      <c r="B1590" s="51"/>
      <c r="C1590" s="51"/>
      <c r="D1590" s="51"/>
      <c r="E1590" s="51"/>
      <c r="F1590" s="51"/>
    </row>
    <row r="1591" spans="1:6" s="69" customFormat="1" ht="12" customHeight="1" x14ac:dyDescent="0.3">
      <c r="A1591" s="57"/>
      <c r="B1591" s="51"/>
      <c r="C1591" s="51"/>
      <c r="D1591" s="51"/>
      <c r="E1591" s="51"/>
      <c r="F1591" s="51"/>
    </row>
    <row r="1592" spans="1:6" s="69" customFormat="1" ht="12" customHeight="1" x14ac:dyDescent="0.3">
      <c r="A1592" s="57"/>
      <c r="B1592" s="51"/>
      <c r="C1592" s="51"/>
      <c r="D1592" s="51"/>
      <c r="E1592" s="51"/>
      <c r="F1592" s="51"/>
    </row>
    <row r="1593" spans="1:6" s="69" customFormat="1" ht="12" customHeight="1" x14ac:dyDescent="0.3">
      <c r="A1593" s="57"/>
      <c r="B1593" s="51"/>
      <c r="C1593" s="51"/>
      <c r="D1593" s="51"/>
      <c r="E1593" s="51"/>
      <c r="F1593" s="51"/>
    </row>
    <row r="1594" spans="1:6" s="69" customFormat="1" ht="12" customHeight="1" x14ac:dyDescent="0.3">
      <c r="A1594" s="57"/>
      <c r="B1594" s="51"/>
      <c r="C1594" s="51"/>
      <c r="D1594" s="51"/>
      <c r="E1594" s="51"/>
      <c r="F1594" s="51"/>
    </row>
    <row r="1595" spans="1:6" s="69" customFormat="1" ht="12" customHeight="1" x14ac:dyDescent="0.3">
      <c r="A1595" s="57"/>
      <c r="B1595" s="51"/>
      <c r="C1595" s="51"/>
      <c r="D1595" s="51"/>
      <c r="E1595" s="51"/>
      <c r="F1595" s="51"/>
    </row>
    <row r="1596" spans="1:6" s="69" customFormat="1" ht="12" customHeight="1" x14ac:dyDescent="0.3">
      <c r="A1596" s="57"/>
      <c r="B1596" s="51"/>
      <c r="C1596" s="51"/>
      <c r="D1596" s="51"/>
      <c r="E1596" s="51"/>
      <c r="F1596" s="51"/>
    </row>
    <row r="1597" spans="1:6" s="69" customFormat="1" ht="12" customHeight="1" x14ac:dyDescent="0.3">
      <c r="A1597" s="57"/>
      <c r="B1597" s="51"/>
      <c r="C1597" s="51"/>
      <c r="D1597" s="51"/>
      <c r="E1597" s="51"/>
      <c r="F1597" s="51"/>
    </row>
    <row r="1598" spans="1:6" s="69" customFormat="1" ht="12" customHeight="1" x14ac:dyDescent="0.3">
      <c r="A1598" s="57"/>
      <c r="B1598" s="51"/>
      <c r="C1598" s="51"/>
      <c r="D1598" s="51"/>
      <c r="E1598" s="51"/>
      <c r="F1598" s="51"/>
    </row>
    <row r="1599" spans="1:6" s="69" customFormat="1" ht="12" customHeight="1" x14ac:dyDescent="0.3">
      <c r="A1599" s="57"/>
      <c r="B1599" s="51"/>
      <c r="C1599" s="51"/>
      <c r="D1599" s="51"/>
      <c r="E1599" s="51"/>
      <c r="F1599" s="51"/>
    </row>
    <row r="1600" spans="1:6" s="69" customFormat="1" ht="12" customHeight="1" x14ac:dyDescent="0.3">
      <c r="A1600" s="57"/>
      <c r="B1600" s="51"/>
      <c r="C1600" s="51"/>
      <c r="D1600" s="51"/>
      <c r="E1600" s="51"/>
      <c r="F1600" s="51"/>
    </row>
    <row r="1601" spans="1:6" s="69" customFormat="1" ht="12" customHeight="1" x14ac:dyDescent="0.3">
      <c r="A1601" s="57"/>
      <c r="B1601" s="51"/>
      <c r="C1601" s="51"/>
      <c r="D1601" s="51"/>
      <c r="E1601" s="51"/>
      <c r="F1601" s="51"/>
    </row>
    <row r="1602" spans="1:6" s="69" customFormat="1" ht="12" customHeight="1" x14ac:dyDescent="0.3">
      <c r="A1602" s="57"/>
      <c r="B1602" s="51"/>
      <c r="C1602" s="51"/>
      <c r="D1602" s="51"/>
      <c r="E1602" s="51"/>
      <c r="F1602" s="51"/>
    </row>
    <row r="1603" spans="1:6" s="69" customFormat="1" ht="12" customHeight="1" x14ac:dyDescent="0.3">
      <c r="A1603" s="57"/>
      <c r="B1603" s="51"/>
      <c r="C1603" s="51"/>
      <c r="D1603" s="51"/>
      <c r="E1603" s="51"/>
      <c r="F1603" s="51"/>
    </row>
    <row r="1604" spans="1:6" s="69" customFormat="1" ht="12" customHeight="1" x14ac:dyDescent="0.3">
      <c r="A1604" s="57"/>
      <c r="B1604" s="51"/>
      <c r="C1604" s="51"/>
      <c r="D1604" s="51"/>
      <c r="E1604" s="51"/>
      <c r="F1604" s="51"/>
    </row>
    <row r="1605" spans="1:6" s="69" customFormat="1" ht="12" customHeight="1" x14ac:dyDescent="0.3">
      <c r="A1605" s="57"/>
      <c r="B1605" s="51"/>
      <c r="C1605" s="51"/>
      <c r="D1605" s="51"/>
      <c r="E1605" s="51"/>
      <c r="F1605" s="51"/>
    </row>
    <row r="1606" spans="1:6" s="69" customFormat="1" ht="12" customHeight="1" x14ac:dyDescent="0.3">
      <c r="A1606" s="57"/>
      <c r="B1606" s="51"/>
      <c r="C1606" s="51"/>
      <c r="D1606" s="51"/>
      <c r="E1606" s="51"/>
      <c r="F1606" s="51"/>
    </row>
    <row r="1607" spans="1:6" s="69" customFormat="1" ht="12" customHeight="1" x14ac:dyDescent="0.3">
      <c r="A1607" s="57"/>
      <c r="B1607" s="51"/>
      <c r="C1607" s="51"/>
      <c r="D1607" s="51"/>
      <c r="E1607" s="51"/>
      <c r="F1607" s="51"/>
    </row>
    <row r="1608" spans="1:6" s="69" customFormat="1" ht="12" customHeight="1" x14ac:dyDescent="0.3">
      <c r="A1608" s="57"/>
      <c r="B1608" s="51"/>
      <c r="C1608" s="51"/>
      <c r="D1608" s="51"/>
      <c r="E1608" s="51"/>
      <c r="F1608" s="51"/>
    </row>
    <row r="1609" spans="1:6" s="69" customFormat="1" ht="12" customHeight="1" x14ac:dyDescent="0.3">
      <c r="A1609" s="57"/>
      <c r="B1609" s="51"/>
      <c r="C1609" s="51"/>
      <c r="D1609" s="51"/>
      <c r="E1609" s="51"/>
      <c r="F1609" s="51"/>
    </row>
    <row r="1610" spans="1:6" s="69" customFormat="1" ht="12" customHeight="1" x14ac:dyDescent="0.3">
      <c r="A1610" s="57"/>
      <c r="B1610" s="51"/>
      <c r="C1610" s="51"/>
      <c r="D1610" s="51"/>
      <c r="E1610" s="51"/>
      <c r="F1610" s="51"/>
    </row>
    <row r="1611" spans="1:6" s="69" customFormat="1" ht="12" customHeight="1" x14ac:dyDescent="0.3">
      <c r="A1611" s="57"/>
      <c r="B1611" s="51"/>
      <c r="C1611" s="51"/>
      <c r="D1611" s="51"/>
      <c r="E1611" s="51"/>
      <c r="F1611" s="51"/>
    </row>
    <row r="1612" spans="1:6" s="69" customFormat="1" ht="12" customHeight="1" x14ac:dyDescent="0.3">
      <c r="A1612" s="57"/>
      <c r="B1612" s="51"/>
      <c r="C1612" s="51"/>
      <c r="D1612" s="51"/>
      <c r="E1612" s="51"/>
      <c r="F1612" s="51"/>
    </row>
    <row r="1613" spans="1:6" s="69" customFormat="1" ht="12" customHeight="1" x14ac:dyDescent="0.3">
      <c r="A1613" s="57"/>
      <c r="B1613" s="51"/>
      <c r="C1613" s="51"/>
      <c r="D1613" s="51"/>
      <c r="E1613" s="51"/>
      <c r="F1613" s="51"/>
    </row>
    <row r="1614" spans="1:6" s="69" customFormat="1" ht="12" customHeight="1" x14ac:dyDescent="0.3">
      <c r="A1614" s="57"/>
      <c r="B1614" s="51"/>
      <c r="C1614" s="51"/>
      <c r="D1614" s="51"/>
      <c r="E1614" s="51"/>
      <c r="F1614" s="51"/>
    </row>
    <row r="1615" spans="1:6" s="69" customFormat="1" ht="12" customHeight="1" x14ac:dyDescent="0.3">
      <c r="A1615" s="57"/>
      <c r="B1615" s="51"/>
      <c r="C1615" s="51"/>
      <c r="D1615" s="51"/>
      <c r="E1615" s="51"/>
      <c r="F1615" s="51"/>
    </row>
    <row r="1616" spans="1:6" s="69" customFormat="1" ht="12" customHeight="1" x14ac:dyDescent="0.3">
      <c r="A1616" s="57"/>
      <c r="B1616" s="51"/>
      <c r="C1616" s="51"/>
      <c r="D1616" s="51"/>
      <c r="E1616" s="51"/>
      <c r="F1616" s="51"/>
    </row>
    <row r="1617" spans="1:6" s="69" customFormat="1" ht="12" customHeight="1" x14ac:dyDescent="0.3">
      <c r="A1617" s="57"/>
      <c r="B1617" s="51"/>
      <c r="C1617" s="51"/>
      <c r="D1617" s="51"/>
      <c r="E1617" s="51"/>
      <c r="F1617" s="51"/>
    </row>
    <row r="1618" spans="1:6" s="69" customFormat="1" ht="12" customHeight="1" x14ac:dyDescent="0.3">
      <c r="A1618" s="57"/>
      <c r="B1618" s="51"/>
      <c r="C1618" s="51"/>
      <c r="D1618" s="51"/>
      <c r="E1618" s="51"/>
      <c r="F1618" s="51"/>
    </row>
    <row r="1619" spans="1:6" s="69" customFormat="1" ht="12" customHeight="1" x14ac:dyDescent="0.3">
      <c r="A1619" s="57"/>
      <c r="B1619" s="51"/>
      <c r="C1619" s="51"/>
      <c r="D1619" s="51"/>
      <c r="E1619" s="51"/>
      <c r="F1619" s="51"/>
    </row>
    <row r="1620" spans="1:6" s="69" customFormat="1" ht="12" customHeight="1" x14ac:dyDescent="0.3">
      <c r="A1620" s="57"/>
      <c r="B1620" s="51"/>
      <c r="C1620" s="51"/>
      <c r="D1620" s="51"/>
      <c r="E1620" s="51"/>
      <c r="F1620" s="51"/>
    </row>
    <row r="1621" spans="1:6" s="69" customFormat="1" ht="12" customHeight="1" x14ac:dyDescent="0.3">
      <c r="A1621" s="57"/>
      <c r="B1621" s="51"/>
      <c r="C1621" s="51"/>
      <c r="D1621" s="51"/>
      <c r="E1621" s="51"/>
      <c r="F1621" s="51"/>
    </row>
    <row r="1622" spans="1:6" s="69" customFormat="1" ht="12" customHeight="1" x14ac:dyDescent="0.3">
      <c r="A1622" s="57"/>
      <c r="B1622" s="51"/>
      <c r="C1622" s="51"/>
      <c r="D1622" s="51"/>
      <c r="E1622" s="51"/>
      <c r="F1622" s="51"/>
    </row>
    <row r="1623" spans="1:6" s="69" customFormat="1" ht="12" customHeight="1" x14ac:dyDescent="0.3">
      <c r="A1623" s="57"/>
      <c r="B1623" s="51"/>
      <c r="C1623" s="51"/>
      <c r="D1623" s="51"/>
      <c r="E1623" s="51"/>
      <c r="F1623" s="51"/>
    </row>
    <row r="1624" spans="1:6" s="69" customFormat="1" ht="12" customHeight="1" x14ac:dyDescent="0.3">
      <c r="A1624" s="57"/>
      <c r="B1624" s="51"/>
      <c r="C1624" s="51"/>
      <c r="D1624" s="51"/>
      <c r="E1624" s="51"/>
      <c r="F1624" s="51"/>
    </row>
    <row r="1625" spans="1:6" s="69" customFormat="1" ht="12" customHeight="1" x14ac:dyDescent="0.3">
      <c r="A1625" s="57"/>
      <c r="B1625" s="51"/>
      <c r="C1625" s="51"/>
      <c r="D1625" s="51"/>
      <c r="E1625" s="51"/>
      <c r="F1625" s="51"/>
    </row>
    <row r="1626" spans="1:6" s="69" customFormat="1" ht="12" customHeight="1" x14ac:dyDescent="0.3">
      <c r="A1626" s="57"/>
      <c r="B1626" s="51"/>
      <c r="C1626" s="51"/>
      <c r="D1626" s="51"/>
      <c r="E1626" s="51"/>
      <c r="F1626" s="51"/>
    </row>
    <row r="1627" spans="1:6" s="69" customFormat="1" ht="12" customHeight="1" x14ac:dyDescent="0.3">
      <c r="A1627" s="57"/>
      <c r="B1627" s="51"/>
      <c r="C1627" s="51"/>
      <c r="D1627" s="51"/>
      <c r="E1627" s="51"/>
      <c r="F1627" s="51"/>
    </row>
    <row r="1628" spans="1:6" s="69" customFormat="1" ht="12" customHeight="1" x14ac:dyDescent="0.3">
      <c r="A1628" s="57"/>
      <c r="B1628" s="51"/>
      <c r="C1628" s="51"/>
      <c r="D1628" s="51"/>
      <c r="E1628" s="51"/>
      <c r="F1628" s="51"/>
    </row>
    <row r="1629" spans="1:6" s="69" customFormat="1" ht="12" customHeight="1" x14ac:dyDescent="0.3">
      <c r="A1629" s="57"/>
      <c r="B1629" s="51"/>
      <c r="C1629" s="51"/>
      <c r="D1629" s="51"/>
      <c r="E1629" s="51"/>
      <c r="F1629" s="51"/>
    </row>
    <row r="1630" spans="1:6" s="69" customFormat="1" ht="12" customHeight="1" x14ac:dyDescent="0.3">
      <c r="A1630" s="57"/>
      <c r="B1630" s="51"/>
      <c r="C1630" s="51"/>
      <c r="D1630" s="51"/>
      <c r="E1630" s="51"/>
      <c r="F1630" s="51"/>
    </row>
    <row r="1631" spans="1:6" s="69" customFormat="1" ht="12" customHeight="1" x14ac:dyDescent="0.3">
      <c r="A1631" s="57"/>
      <c r="B1631" s="51"/>
      <c r="C1631" s="51"/>
      <c r="D1631" s="51"/>
      <c r="E1631" s="51"/>
      <c r="F1631" s="51"/>
    </row>
    <row r="1632" spans="1:6" s="69" customFormat="1" ht="12" customHeight="1" x14ac:dyDescent="0.3">
      <c r="A1632" s="57"/>
      <c r="B1632" s="51"/>
      <c r="C1632" s="51"/>
      <c r="D1632" s="51"/>
      <c r="E1632" s="51"/>
      <c r="F1632" s="51"/>
    </row>
    <row r="1633" spans="1:6" s="69" customFormat="1" ht="12" customHeight="1" x14ac:dyDescent="0.3">
      <c r="A1633" s="57"/>
      <c r="B1633" s="51"/>
      <c r="C1633" s="51"/>
      <c r="D1633" s="51"/>
      <c r="E1633" s="51"/>
      <c r="F1633" s="51"/>
    </row>
    <row r="1634" spans="1:6" s="69" customFormat="1" ht="12" customHeight="1" x14ac:dyDescent="0.3">
      <c r="A1634" s="57"/>
      <c r="B1634" s="51"/>
      <c r="C1634" s="51"/>
      <c r="D1634" s="51"/>
      <c r="E1634" s="51"/>
      <c r="F1634" s="51"/>
    </row>
    <row r="1635" spans="1:6" s="69" customFormat="1" ht="12" customHeight="1" x14ac:dyDescent="0.3">
      <c r="A1635" s="57"/>
      <c r="B1635" s="51"/>
      <c r="C1635" s="51"/>
      <c r="D1635" s="51"/>
      <c r="E1635" s="51"/>
      <c r="F1635" s="51"/>
    </row>
    <row r="1636" spans="1:6" s="69" customFormat="1" ht="12" customHeight="1" x14ac:dyDescent="0.3">
      <c r="A1636" s="57"/>
      <c r="B1636" s="51"/>
      <c r="C1636" s="51"/>
      <c r="D1636" s="51"/>
      <c r="E1636" s="51"/>
      <c r="F1636" s="51"/>
    </row>
    <row r="1637" spans="1:6" s="69" customFormat="1" ht="12" customHeight="1" x14ac:dyDescent="0.3">
      <c r="A1637" s="57"/>
      <c r="B1637" s="51"/>
      <c r="C1637" s="51"/>
      <c r="D1637" s="51"/>
      <c r="E1637" s="51"/>
      <c r="F1637" s="51"/>
    </row>
    <row r="1638" spans="1:6" s="69" customFormat="1" ht="12" customHeight="1" x14ac:dyDescent="0.3">
      <c r="A1638" s="57"/>
      <c r="B1638" s="51"/>
      <c r="C1638" s="51"/>
      <c r="D1638" s="51"/>
      <c r="E1638" s="51"/>
      <c r="F1638" s="51"/>
    </row>
    <row r="1639" spans="1:6" s="69" customFormat="1" ht="12" customHeight="1" x14ac:dyDescent="0.3">
      <c r="A1639" s="57"/>
      <c r="B1639" s="51"/>
      <c r="C1639" s="51"/>
      <c r="D1639" s="51"/>
      <c r="E1639" s="51"/>
      <c r="F1639" s="51"/>
    </row>
    <row r="1640" spans="1:6" s="69" customFormat="1" ht="12" customHeight="1" x14ac:dyDescent="0.3">
      <c r="A1640" s="57"/>
      <c r="B1640" s="51"/>
      <c r="C1640" s="51"/>
      <c r="D1640" s="51"/>
      <c r="E1640" s="51"/>
      <c r="F1640" s="51"/>
    </row>
    <row r="1641" spans="1:6" s="69" customFormat="1" ht="12" customHeight="1" x14ac:dyDescent="0.3">
      <c r="A1641" s="57"/>
      <c r="B1641" s="51"/>
      <c r="C1641" s="51"/>
      <c r="D1641" s="51"/>
      <c r="E1641" s="51"/>
      <c r="F1641" s="51"/>
    </row>
    <row r="1642" spans="1:6" s="69" customFormat="1" ht="12" customHeight="1" x14ac:dyDescent="0.3">
      <c r="A1642" s="57"/>
      <c r="B1642" s="51"/>
      <c r="C1642" s="51"/>
      <c r="D1642" s="51"/>
      <c r="E1642" s="51"/>
      <c r="F1642" s="51"/>
    </row>
    <row r="1643" spans="1:6" s="69" customFormat="1" ht="12" customHeight="1" x14ac:dyDescent="0.3">
      <c r="A1643" s="57"/>
      <c r="B1643" s="51"/>
      <c r="C1643" s="51"/>
      <c r="D1643" s="51"/>
      <c r="E1643" s="51"/>
      <c r="F1643" s="51"/>
    </row>
    <row r="1644" spans="1:6" s="69" customFormat="1" ht="12" customHeight="1" x14ac:dyDescent="0.3">
      <c r="A1644" s="57"/>
      <c r="B1644" s="51"/>
      <c r="C1644" s="51"/>
      <c r="D1644" s="51"/>
      <c r="E1644" s="51"/>
      <c r="F1644" s="51"/>
    </row>
    <row r="1645" spans="1:6" s="69" customFormat="1" ht="12" customHeight="1" x14ac:dyDescent="0.3">
      <c r="A1645" s="57"/>
      <c r="B1645" s="51"/>
      <c r="C1645" s="51"/>
      <c r="D1645" s="51"/>
      <c r="E1645" s="51"/>
      <c r="F1645" s="51"/>
    </row>
    <row r="1646" spans="1:6" s="69" customFormat="1" ht="12" customHeight="1" x14ac:dyDescent="0.3">
      <c r="A1646" s="57"/>
      <c r="B1646" s="51"/>
      <c r="C1646" s="51"/>
      <c r="D1646" s="51"/>
      <c r="E1646" s="51"/>
      <c r="F1646" s="51"/>
    </row>
    <row r="1647" spans="1:6" s="69" customFormat="1" ht="12" customHeight="1" x14ac:dyDescent="0.3">
      <c r="A1647" s="57"/>
      <c r="B1647" s="51"/>
      <c r="C1647" s="51"/>
      <c r="D1647" s="51"/>
      <c r="E1647" s="51"/>
      <c r="F1647" s="51"/>
    </row>
    <row r="1648" spans="1:6" s="69" customFormat="1" ht="12" customHeight="1" x14ac:dyDescent="0.3">
      <c r="A1648" s="57"/>
      <c r="B1648" s="51"/>
      <c r="C1648" s="51"/>
      <c r="D1648" s="51"/>
      <c r="E1648" s="51"/>
      <c r="F1648" s="51"/>
    </row>
    <row r="1649" spans="1:6" s="69" customFormat="1" ht="12" customHeight="1" x14ac:dyDescent="0.3">
      <c r="A1649" s="57"/>
      <c r="B1649" s="51"/>
      <c r="C1649" s="51"/>
      <c r="D1649" s="51"/>
      <c r="E1649" s="51"/>
      <c r="F1649" s="51"/>
    </row>
    <row r="1650" spans="1:6" s="69" customFormat="1" ht="12" customHeight="1" x14ac:dyDescent="0.3">
      <c r="A1650" s="57"/>
      <c r="B1650" s="51"/>
      <c r="C1650" s="51"/>
      <c r="D1650" s="51"/>
      <c r="E1650" s="51"/>
      <c r="F1650" s="51"/>
    </row>
    <row r="1651" spans="1:6" s="69" customFormat="1" ht="12" customHeight="1" x14ac:dyDescent="0.3">
      <c r="A1651" s="57"/>
      <c r="B1651" s="51"/>
      <c r="C1651" s="51"/>
      <c r="D1651" s="51"/>
      <c r="E1651" s="51"/>
      <c r="F1651" s="51"/>
    </row>
    <row r="1652" spans="1:6" s="69" customFormat="1" ht="12" customHeight="1" x14ac:dyDescent="0.3">
      <c r="A1652" s="57"/>
      <c r="B1652" s="51"/>
      <c r="C1652" s="51"/>
      <c r="D1652" s="51"/>
      <c r="E1652" s="51"/>
      <c r="F1652" s="51"/>
    </row>
    <row r="1653" spans="1:6" s="69" customFormat="1" ht="12" customHeight="1" x14ac:dyDescent="0.3">
      <c r="A1653" s="57"/>
      <c r="B1653" s="51"/>
      <c r="C1653" s="51"/>
      <c r="D1653" s="51"/>
      <c r="E1653" s="51"/>
      <c r="F1653" s="51"/>
    </row>
    <row r="1654" spans="1:6" s="69" customFormat="1" ht="12" customHeight="1" x14ac:dyDescent="0.3">
      <c r="A1654" s="57"/>
      <c r="B1654" s="51"/>
      <c r="C1654" s="51"/>
      <c r="D1654" s="51"/>
      <c r="E1654" s="51"/>
      <c r="F1654" s="51"/>
    </row>
    <row r="1655" spans="1:6" s="69" customFormat="1" ht="12" customHeight="1" x14ac:dyDescent="0.3">
      <c r="A1655" s="57"/>
      <c r="B1655" s="51"/>
      <c r="C1655" s="51"/>
      <c r="D1655" s="51"/>
      <c r="E1655" s="51"/>
      <c r="F1655" s="51"/>
    </row>
    <row r="1656" spans="1:6" s="69" customFormat="1" ht="12" customHeight="1" x14ac:dyDescent="0.3">
      <c r="A1656" s="57"/>
      <c r="B1656" s="51"/>
      <c r="C1656" s="51"/>
      <c r="D1656" s="51"/>
      <c r="E1656" s="51"/>
      <c r="F1656" s="51"/>
    </row>
    <row r="1657" spans="1:6" s="69" customFormat="1" ht="12" customHeight="1" x14ac:dyDescent="0.3">
      <c r="A1657" s="57"/>
      <c r="B1657" s="51"/>
      <c r="C1657" s="51"/>
      <c r="D1657" s="51"/>
      <c r="E1657" s="51"/>
      <c r="F1657" s="51"/>
    </row>
    <row r="1658" spans="1:6" s="69" customFormat="1" ht="12" customHeight="1" x14ac:dyDescent="0.3">
      <c r="A1658" s="57"/>
      <c r="B1658" s="51"/>
      <c r="C1658" s="51"/>
      <c r="D1658" s="51"/>
      <c r="E1658" s="51"/>
      <c r="F1658" s="51"/>
    </row>
    <row r="1659" spans="1:6" s="69" customFormat="1" ht="12" customHeight="1" x14ac:dyDescent="0.3">
      <c r="A1659" s="57"/>
      <c r="B1659" s="51"/>
      <c r="C1659" s="51"/>
      <c r="D1659" s="51"/>
      <c r="E1659" s="51"/>
      <c r="F1659" s="51"/>
    </row>
    <row r="1660" spans="1:6" s="69" customFormat="1" ht="12" customHeight="1" x14ac:dyDescent="0.3">
      <c r="A1660" s="57"/>
      <c r="B1660" s="51"/>
      <c r="C1660" s="51"/>
      <c r="D1660" s="51"/>
      <c r="E1660" s="51"/>
      <c r="F1660" s="51"/>
    </row>
    <row r="1661" spans="1:6" s="69" customFormat="1" ht="12" customHeight="1" x14ac:dyDescent="0.3">
      <c r="A1661" s="57"/>
      <c r="B1661" s="51"/>
      <c r="C1661" s="51"/>
      <c r="D1661" s="51"/>
      <c r="E1661" s="51"/>
      <c r="F1661" s="51"/>
    </row>
    <row r="1662" spans="1:6" s="69" customFormat="1" ht="12" customHeight="1" x14ac:dyDescent="0.3">
      <c r="A1662" s="57"/>
      <c r="B1662" s="51"/>
      <c r="C1662" s="51"/>
      <c r="D1662" s="51"/>
      <c r="E1662" s="51"/>
      <c r="F1662" s="51"/>
    </row>
    <row r="1663" spans="1:6" s="69" customFormat="1" ht="12" customHeight="1" x14ac:dyDescent="0.3">
      <c r="A1663" s="57"/>
      <c r="B1663" s="51"/>
      <c r="C1663" s="51"/>
      <c r="D1663" s="51"/>
      <c r="E1663" s="51"/>
      <c r="F1663" s="51"/>
    </row>
    <row r="1664" spans="1:6" s="69" customFormat="1" ht="12" customHeight="1" x14ac:dyDescent="0.3">
      <c r="A1664" s="57"/>
      <c r="B1664" s="51"/>
      <c r="C1664" s="51"/>
      <c r="D1664" s="51"/>
      <c r="E1664" s="51"/>
      <c r="F1664" s="51"/>
    </row>
    <row r="1665" spans="1:6" s="69" customFormat="1" ht="12" customHeight="1" x14ac:dyDescent="0.3">
      <c r="A1665" s="57"/>
      <c r="B1665" s="51"/>
      <c r="C1665" s="51"/>
      <c r="D1665" s="51"/>
      <c r="E1665" s="51"/>
      <c r="F1665" s="51"/>
    </row>
    <row r="1666" spans="1:6" s="69" customFormat="1" ht="12" customHeight="1" x14ac:dyDescent="0.3">
      <c r="A1666" s="57"/>
      <c r="B1666" s="51"/>
      <c r="C1666" s="51"/>
      <c r="D1666" s="51"/>
      <c r="E1666" s="51"/>
      <c r="F1666" s="51"/>
    </row>
    <row r="1667" spans="1:6" s="69" customFormat="1" ht="12" customHeight="1" x14ac:dyDescent="0.3">
      <c r="A1667" s="57"/>
      <c r="B1667" s="51"/>
      <c r="C1667" s="51"/>
      <c r="D1667" s="51"/>
      <c r="E1667" s="51"/>
      <c r="F1667" s="51"/>
    </row>
    <row r="1668" spans="1:6" s="69" customFormat="1" ht="12" customHeight="1" x14ac:dyDescent="0.3">
      <c r="A1668" s="57"/>
      <c r="B1668" s="51"/>
      <c r="C1668" s="51"/>
      <c r="D1668" s="51"/>
      <c r="E1668" s="51"/>
      <c r="F1668" s="51"/>
    </row>
    <row r="1669" spans="1:6" s="69" customFormat="1" ht="12" customHeight="1" x14ac:dyDescent="0.3">
      <c r="A1669" s="57"/>
      <c r="B1669" s="51"/>
      <c r="C1669" s="51"/>
      <c r="D1669" s="51"/>
      <c r="E1669" s="51"/>
      <c r="F1669" s="51"/>
    </row>
    <row r="1670" spans="1:6" s="69" customFormat="1" ht="12" customHeight="1" x14ac:dyDescent="0.3">
      <c r="A1670" s="57"/>
      <c r="B1670" s="51"/>
      <c r="C1670" s="51"/>
      <c r="D1670" s="51"/>
      <c r="E1670" s="51"/>
      <c r="F1670" s="51"/>
    </row>
    <row r="1671" spans="1:6" s="69" customFormat="1" ht="12" customHeight="1" x14ac:dyDescent="0.3">
      <c r="A1671" s="57"/>
      <c r="B1671" s="51"/>
      <c r="C1671" s="51"/>
      <c r="D1671" s="51"/>
      <c r="E1671" s="51"/>
      <c r="F1671" s="51"/>
    </row>
    <row r="1672" spans="1:6" s="69" customFormat="1" ht="12" customHeight="1" x14ac:dyDescent="0.3">
      <c r="A1672" s="57"/>
      <c r="B1672" s="51"/>
      <c r="C1672" s="51"/>
      <c r="D1672" s="51"/>
      <c r="E1672" s="51"/>
      <c r="F1672" s="51"/>
    </row>
    <row r="1673" spans="1:6" s="69" customFormat="1" ht="12" customHeight="1" x14ac:dyDescent="0.3">
      <c r="A1673" s="57"/>
      <c r="B1673" s="51"/>
      <c r="C1673" s="51"/>
      <c r="D1673" s="51"/>
      <c r="E1673" s="51"/>
      <c r="F1673" s="51"/>
    </row>
    <row r="1674" spans="1:6" s="69" customFormat="1" ht="12" customHeight="1" x14ac:dyDescent="0.3">
      <c r="A1674" s="57"/>
      <c r="B1674" s="51"/>
      <c r="C1674" s="51"/>
      <c r="D1674" s="51"/>
      <c r="E1674" s="51"/>
      <c r="F1674" s="51"/>
    </row>
    <row r="1675" spans="1:6" s="69" customFormat="1" ht="12" customHeight="1" x14ac:dyDescent="0.3">
      <c r="A1675" s="57"/>
      <c r="B1675" s="51"/>
      <c r="C1675" s="51"/>
      <c r="D1675" s="51"/>
      <c r="E1675" s="51"/>
      <c r="F1675" s="51"/>
    </row>
    <row r="1676" spans="1:6" s="69" customFormat="1" ht="12" customHeight="1" x14ac:dyDescent="0.3">
      <c r="A1676" s="57"/>
      <c r="B1676" s="51"/>
      <c r="C1676" s="51"/>
      <c r="D1676" s="51"/>
      <c r="E1676" s="51"/>
      <c r="F1676" s="51"/>
    </row>
    <row r="1677" spans="1:6" s="69" customFormat="1" ht="12" customHeight="1" x14ac:dyDescent="0.3">
      <c r="A1677" s="57"/>
      <c r="B1677" s="51"/>
      <c r="C1677" s="51"/>
      <c r="D1677" s="51"/>
      <c r="E1677" s="51"/>
      <c r="F1677" s="51"/>
    </row>
    <row r="1678" spans="1:6" s="69" customFormat="1" ht="12" customHeight="1" x14ac:dyDescent="0.3">
      <c r="A1678" s="57"/>
      <c r="B1678" s="51"/>
      <c r="C1678" s="51"/>
      <c r="D1678" s="51"/>
      <c r="E1678" s="51"/>
      <c r="F1678" s="51"/>
    </row>
    <row r="1679" spans="1:6" s="69" customFormat="1" ht="12" customHeight="1" x14ac:dyDescent="0.3">
      <c r="A1679" s="57"/>
      <c r="B1679" s="51"/>
      <c r="C1679" s="51"/>
      <c r="D1679" s="51"/>
      <c r="E1679" s="51"/>
      <c r="F1679" s="51"/>
    </row>
    <row r="1680" spans="1:6" s="69" customFormat="1" ht="12" customHeight="1" x14ac:dyDescent="0.3">
      <c r="A1680" s="57"/>
      <c r="B1680" s="51"/>
      <c r="C1680" s="51"/>
      <c r="D1680" s="51"/>
      <c r="E1680" s="51"/>
      <c r="F1680" s="51"/>
    </row>
    <row r="1681" spans="1:6" s="69" customFormat="1" ht="12" customHeight="1" x14ac:dyDescent="0.3">
      <c r="A1681" s="57"/>
      <c r="B1681" s="51"/>
      <c r="C1681" s="51"/>
      <c r="D1681" s="51"/>
      <c r="E1681" s="51"/>
      <c r="F1681" s="51"/>
    </row>
    <row r="1682" spans="1:6" s="69" customFormat="1" ht="12" customHeight="1" x14ac:dyDescent="0.3">
      <c r="A1682" s="57"/>
      <c r="B1682" s="51"/>
      <c r="C1682" s="51"/>
      <c r="D1682" s="51"/>
      <c r="E1682" s="51"/>
      <c r="F1682" s="51"/>
    </row>
    <row r="1683" spans="1:6" s="69" customFormat="1" ht="12" customHeight="1" x14ac:dyDescent="0.3">
      <c r="A1683" s="57"/>
      <c r="B1683" s="51"/>
      <c r="C1683" s="51"/>
      <c r="D1683" s="51"/>
      <c r="E1683" s="51"/>
      <c r="F1683" s="51"/>
    </row>
    <row r="1684" spans="1:6" s="69" customFormat="1" ht="12" customHeight="1" x14ac:dyDescent="0.3">
      <c r="A1684" s="57"/>
      <c r="B1684" s="51"/>
      <c r="C1684" s="51"/>
      <c r="D1684" s="51"/>
      <c r="E1684" s="51"/>
      <c r="F1684" s="51"/>
    </row>
    <row r="1685" spans="1:6" s="69" customFormat="1" ht="12" customHeight="1" x14ac:dyDescent="0.3">
      <c r="A1685" s="57"/>
      <c r="B1685" s="51"/>
      <c r="C1685" s="51"/>
      <c r="D1685" s="51"/>
      <c r="E1685" s="51"/>
      <c r="F1685" s="51"/>
    </row>
    <row r="1686" spans="1:6" s="69" customFormat="1" ht="12" customHeight="1" x14ac:dyDescent="0.3">
      <c r="A1686" s="57"/>
      <c r="B1686" s="51"/>
      <c r="C1686" s="51"/>
      <c r="D1686" s="51"/>
      <c r="E1686" s="51"/>
      <c r="F1686" s="51"/>
    </row>
    <row r="1687" spans="1:6" s="69" customFormat="1" ht="12" customHeight="1" x14ac:dyDescent="0.3">
      <c r="A1687" s="57"/>
      <c r="B1687" s="51"/>
      <c r="C1687" s="51"/>
      <c r="D1687" s="51"/>
      <c r="E1687" s="51"/>
      <c r="F1687" s="51"/>
    </row>
    <row r="1688" spans="1:6" s="69" customFormat="1" ht="12" customHeight="1" x14ac:dyDescent="0.3">
      <c r="A1688" s="57"/>
      <c r="B1688" s="51"/>
      <c r="C1688" s="51"/>
      <c r="D1688" s="51"/>
      <c r="E1688" s="51"/>
      <c r="F1688" s="51"/>
    </row>
    <row r="1689" spans="1:6" s="69" customFormat="1" ht="12" customHeight="1" x14ac:dyDescent="0.3">
      <c r="A1689" s="57"/>
      <c r="B1689" s="51"/>
      <c r="C1689" s="51"/>
      <c r="D1689" s="51"/>
      <c r="E1689" s="51"/>
      <c r="F1689" s="51"/>
    </row>
    <row r="1690" spans="1:6" s="69" customFormat="1" ht="12" customHeight="1" x14ac:dyDescent="0.3">
      <c r="A1690" s="57"/>
      <c r="B1690" s="51"/>
      <c r="C1690" s="51"/>
      <c r="D1690" s="51"/>
      <c r="E1690" s="51"/>
      <c r="F1690" s="51"/>
    </row>
    <row r="1691" spans="1:6" s="69" customFormat="1" ht="12" customHeight="1" x14ac:dyDescent="0.3">
      <c r="A1691" s="57"/>
      <c r="B1691" s="51"/>
      <c r="C1691" s="51"/>
      <c r="D1691" s="51"/>
      <c r="E1691" s="51"/>
      <c r="F1691" s="51"/>
    </row>
    <row r="1692" spans="1:6" s="69" customFormat="1" ht="12" customHeight="1" x14ac:dyDescent="0.3">
      <c r="A1692" s="57"/>
      <c r="B1692" s="51"/>
      <c r="C1692" s="51"/>
      <c r="D1692" s="51"/>
      <c r="E1692" s="51"/>
      <c r="F1692" s="51"/>
    </row>
    <row r="1693" spans="1:6" s="69" customFormat="1" ht="12" customHeight="1" x14ac:dyDescent="0.3">
      <c r="A1693" s="57"/>
      <c r="B1693" s="51"/>
      <c r="C1693" s="51"/>
      <c r="D1693" s="51"/>
      <c r="E1693" s="51"/>
      <c r="F1693" s="51"/>
    </row>
    <row r="1694" spans="1:6" s="69" customFormat="1" ht="12" customHeight="1" x14ac:dyDescent="0.3">
      <c r="A1694" s="57"/>
      <c r="B1694" s="51"/>
      <c r="C1694" s="51"/>
      <c r="D1694" s="51"/>
      <c r="E1694" s="51"/>
      <c r="F1694" s="51"/>
    </row>
    <row r="1695" spans="1:6" s="69" customFormat="1" ht="12" customHeight="1" x14ac:dyDescent="0.3">
      <c r="A1695" s="57"/>
      <c r="B1695" s="51"/>
      <c r="C1695" s="51"/>
      <c r="D1695" s="51"/>
      <c r="E1695" s="51"/>
      <c r="F1695" s="51"/>
    </row>
    <row r="1696" spans="1:6" s="69" customFormat="1" ht="12" customHeight="1" x14ac:dyDescent="0.3">
      <c r="A1696" s="57"/>
      <c r="B1696" s="51"/>
      <c r="C1696" s="51"/>
      <c r="D1696" s="51"/>
      <c r="E1696" s="51"/>
      <c r="F1696" s="51"/>
    </row>
    <row r="1697" spans="1:6" s="69" customFormat="1" ht="12" customHeight="1" x14ac:dyDescent="0.3">
      <c r="A1697" s="57"/>
      <c r="B1697" s="51"/>
      <c r="C1697" s="51"/>
      <c r="D1697" s="51"/>
      <c r="E1697" s="51"/>
      <c r="F1697" s="51"/>
    </row>
    <row r="1698" spans="1:6" s="69" customFormat="1" ht="12" customHeight="1" x14ac:dyDescent="0.3">
      <c r="A1698" s="57"/>
      <c r="B1698" s="51"/>
      <c r="C1698" s="51"/>
      <c r="D1698" s="51"/>
      <c r="E1698" s="51"/>
      <c r="F1698" s="51"/>
    </row>
    <row r="1699" spans="1:6" s="69" customFormat="1" ht="12" customHeight="1" x14ac:dyDescent="0.3">
      <c r="A1699" s="57"/>
      <c r="B1699" s="51"/>
      <c r="C1699" s="51"/>
      <c r="D1699" s="51"/>
      <c r="E1699" s="51"/>
      <c r="F1699" s="51"/>
    </row>
    <row r="1700" spans="1:6" s="69" customFormat="1" ht="12" customHeight="1" x14ac:dyDescent="0.3">
      <c r="A1700" s="57"/>
      <c r="B1700" s="51"/>
      <c r="C1700" s="51"/>
      <c r="D1700" s="51"/>
      <c r="E1700" s="51"/>
      <c r="F1700" s="51"/>
    </row>
    <row r="1701" spans="1:6" s="69" customFormat="1" ht="12" customHeight="1" x14ac:dyDescent="0.3">
      <c r="A1701" s="57"/>
      <c r="B1701" s="51"/>
      <c r="C1701" s="51"/>
      <c r="D1701" s="51"/>
      <c r="E1701" s="51"/>
      <c r="F1701" s="51"/>
    </row>
    <row r="1702" spans="1:6" s="69" customFormat="1" ht="12" customHeight="1" x14ac:dyDescent="0.3">
      <c r="A1702" s="57"/>
      <c r="B1702" s="51"/>
      <c r="C1702" s="51"/>
      <c r="D1702" s="51"/>
      <c r="E1702" s="51"/>
      <c r="F1702" s="51"/>
    </row>
    <row r="1703" spans="1:6" s="69" customFormat="1" ht="12" customHeight="1" x14ac:dyDescent="0.3">
      <c r="A1703" s="57"/>
      <c r="B1703" s="51"/>
      <c r="C1703" s="51"/>
      <c r="D1703" s="51"/>
      <c r="E1703" s="51"/>
      <c r="F1703" s="51"/>
    </row>
    <row r="1704" spans="1:6" s="69" customFormat="1" ht="12" customHeight="1" x14ac:dyDescent="0.3">
      <c r="A1704" s="57"/>
      <c r="B1704" s="51"/>
      <c r="C1704" s="51"/>
      <c r="D1704" s="51"/>
      <c r="E1704" s="51"/>
      <c r="F1704" s="51"/>
    </row>
    <row r="1705" spans="1:6" s="69" customFormat="1" ht="12" customHeight="1" x14ac:dyDescent="0.3">
      <c r="A1705" s="57"/>
      <c r="B1705" s="51"/>
      <c r="C1705" s="51"/>
      <c r="D1705" s="51"/>
      <c r="E1705" s="51"/>
      <c r="F1705" s="51"/>
    </row>
    <row r="1706" spans="1:6" s="69" customFormat="1" ht="12" customHeight="1" x14ac:dyDescent="0.3">
      <c r="A1706" s="57"/>
      <c r="B1706" s="51"/>
      <c r="C1706" s="51"/>
      <c r="D1706" s="51"/>
      <c r="E1706" s="51"/>
      <c r="F1706" s="51"/>
    </row>
    <row r="1707" spans="1:6" s="69" customFormat="1" ht="12" customHeight="1" x14ac:dyDescent="0.3">
      <c r="A1707" s="57"/>
      <c r="B1707" s="51"/>
      <c r="C1707" s="51"/>
      <c r="D1707" s="51"/>
      <c r="E1707" s="51"/>
      <c r="F1707" s="51"/>
    </row>
    <row r="1708" spans="1:6" s="69" customFormat="1" ht="12" customHeight="1" x14ac:dyDescent="0.3">
      <c r="A1708" s="57"/>
      <c r="B1708" s="51"/>
      <c r="C1708" s="51"/>
      <c r="D1708" s="51"/>
      <c r="E1708" s="51"/>
      <c r="F1708" s="51"/>
    </row>
    <row r="1709" spans="1:6" s="69" customFormat="1" ht="12" customHeight="1" x14ac:dyDescent="0.3">
      <c r="A1709" s="57"/>
      <c r="B1709" s="51"/>
      <c r="C1709" s="51"/>
      <c r="D1709" s="51"/>
      <c r="E1709" s="51"/>
      <c r="F1709" s="51"/>
    </row>
    <row r="1710" spans="1:6" s="69" customFormat="1" ht="12" customHeight="1" x14ac:dyDescent="0.3">
      <c r="A1710" s="57"/>
      <c r="B1710" s="51"/>
      <c r="C1710" s="51"/>
      <c r="D1710" s="51"/>
      <c r="E1710" s="51"/>
      <c r="F1710" s="51"/>
    </row>
    <row r="1711" spans="1:6" s="69" customFormat="1" ht="12" customHeight="1" x14ac:dyDescent="0.3">
      <c r="A1711" s="57"/>
      <c r="B1711" s="51"/>
      <c r="C1711" s="51"/>
      <c r="D1711" s="51"/>
      <c r="E1711" s="51"/>
      <c r="F1711" s="51"/>
    </row>
    <row r="1712" spans="1:6" s="69" customFormat="1" ht="12" customHeight="1" x14ac:dyDescent="0.3">
      <c r="A1712" s="57"/>
      <c r="B1712" s="51"/>
      <c r="C1712" s="51"/>
      <c r="D1712" s="51"/>
      <c r="E1712" s="51"/>
      <c r="F1712" s="51"/>
    </row>
    <row r="1713" spans="1:6" s="69" customFormat="1" ht="12" customHeight="1" x14ac:dyDescent="0.3">
      <c r="A1713" s="57"/>
      <c r="B1713" s="51"/>
      <c r="C1713" s="51"/>
      <c r="D1713" s="51"/>
      <c r="E1713" s="51"/>
      <c r="F1713" s="51"/>
    </row>
    <row r="1714" spans="1:6" s="69" customFormat="1" ht="12" customHeight="1" x14ac:dyDescent="0.3">
      <c r="A1714" s="57"/>
      <c r="B1714" s="51"/>
      <c r="C1714" s="51"/>
      <c r="D1714" s="51"/>
      <c r="E1714" s="51"/>
      <c r="F1714" s="51"/>
    </row>
    <row r="1715" spans="1:6" s="69" customFormat="1" ht="12" customHeight="1" x14ac:dyDescent="0.3">
      <c r="A1715" s="57"/>
      <c r="B1715" s="51"/>
      <c r="C1715" s="51"/>
      <c r="D1715" s="51"/>
      <c r="E1715" s="51"/>
      <c r="F1715" s="51"/>
    </row>
    <row r="1716" spans="1:6" s="69" customFormat="1" ht="12" customHeight="1" x14ac:dyDescent="0.3">
      <c r="A1716" s="57"/>
      <c r="B1716" s="51"/>
      <c r="C1716" s="51"/>
      <c r="D1716" s="51"/>
      <c r="E1716" s="51"/>
      <c r="F1716" s="51"/>
    </row>
    <row r="1717" spans="1:6" s="69" customFormat="1" ht="12" customHeight="1" x14ac:dyDescent="0.3">
      <c r="A1717" s="57"/>
      <c r="B1717" s="51"/>
      <c r="C1717" s="51"/>
      <c r="D1717" s="51"/>
      <c r="E1717" s="51"/>
      <c r="F1717" s="51"/>
    </row>
    <row r="1718" spans="1:6" s="69" customFormat="1" ht="12" customHeight="1" x14ac:dyDescent="0.3">
      <c r="A1718" s="57"/>
      <c r="B1718" s="51"/>
      <c r="C1718" s="51"/>
      <c r="D1718" s="51"/>
      <c r="E1718" s="51"/>
      <c r="F1718" s="51"/>
    </row>
    <row r="1719" spans="1:6" s="69" customFormat="1" ht="12" customHeight="1" x14ac:dyDescent="0.3">
      <c r="A1719" s="57"/>
      <c r="B1719" s="51"/>
      <c r="C1719" s="51"/>
      <c r="D1719" s="51"/>
      <c r="E1719" s="51"/>
      <c r="F1719" s="51"/>
    </row>
    <row r="1720" spans="1:6" s="69" customFormat="1" ht="12" customHeight="1" x14ac:dyDescent="0.3">
      <c r="A1720" s="57"/>
      <c r="B1720" s="51"/>
      <c r="C1720" s="51"/>
      <c r="D1720" s="51"/>
      <c r="E1720" s="51"/>
      <c r="F1720" s="51"/>
    </row>
    <row r="1721" spans="1:6" s="69" customFormat="1" ht="12" customHeight="1" x14ac:dyDescent="0.3">
      <c r="A1721" s="57"/>
      <c r="B1721" s="51"/>
      <c r="C1721" s="51"/>
      <c r="D1721" s="51"/>
      <c r="E1721" s="51"/>
      <c r="F1721" s="51"/>
    </row>
    <row r="1722" spans="1:6" s="69" customFormat="1" ht="12" customHeight="1" x14ac:dyDescent="0.3">
      <c r="A1722" s="57"/>
      <c r="B1722" s="51"/>
      <c r="C1722" s="51"/>
      <c r="D1722" s="51"/>
      <c r="E1722" s="51"/>
      <c r="F1722" s="51"/>
    </row>
    <row r="1723" spans="1:6" s="69" customFormat="1" ht="12" customHeight="1" x14ac:dyDescent="0.3">
      <c r="A1723" s="57"/>
      <c r="B1723" s="51"/>
      <c r="C1723" s="51"/>
      <c r="D1723" s="51"/>
      <c r="E1723" s="51"/>
      <c r="F1723" s="51"/>
    </row>
    <row r="1724" spans="1:6" s="69" customFormat="1" ht="12" customHeight="1" x14ac:dyDescent="0.3">
      <c r="A1724" s="57"/>
      <c r="B1724" s="51"/>
      <c r="C1724" s="51"/>
      <c r="D1724" s="51"/>
      <c r="E1724" s="51"/>
      <c r="F1724" s="51"/>
    </row>
    <row r="1725" spans="1:6" s="69" customFormat="1" ht="12" customHeight="1" x14ac:dyDescent="0.3">
      <c r="A1725" s="57"/>
      <c r="B1725" s="51"/>
      <c r="C1725" s="51"/>
      <c r="D1725" s="51"/>
      <c r="E1725" s="51"/>
      <c r="F1725" s="51"/>
    </row>
    <row r="1726" spans="1:6" s="69" customFormat="1" ht="12" customHeight="1" x14ac:dyDescent="0.3">
      <c r="A1726" s="57"/>
      <c r="B1726" s="51"/>
      <c r="C1726" s="51"/>
      <c r="D1726" s="51"/>
      <c r="E1726" s="51"/>
      <c r="F1726" s="51"/>
    </row>
    <row r="1727" spans="1:6" s="69" customFormat="1" ht="12" customHeight="1" x14ac:dyDescent="0.3">
      <c r="A1727" s="57"/>
      <c r="B1727" s="51"/>
      <c r="C1727" s="51"/>
      <c r="D1727" s="51"/>
      <c r="E1727" s="51"/>
      <c r="F1727" s="51"/>
    </row>
    <row r="1728" spans="1:6" s="69" customFormat="1" ht="12" customHeight="1" x14ac:dyDescent="0.3">
      <c r="A1728" s="57"/>
      <c r="B1728" s="51"/>
      <c r="C1728" s="51"/>
      <c r="D1728" s="51"/>
      <c r="E1728" s="51"/>
      <c r="F1728" s="51"/>
    </row>
    <row r="1729" spans="1:6" s="69" customFormat="1" ht="12" customHeight="1" x14ac:dyDescent="0.3">
      <c r="A1729" s="57"/>
      <c r="B1729" s="51"/>
      <c r="C1729" s="51"/>
      <c r="D1729" s="51"/>
      <c r="E1729" s="51"/>
      <c r="F1729" s="51"/>
    </row>
    <row r="1730" spans="1:6" s="69" customFormat="1" ht="12" customHeight="1" x14ac:dyDescent="0.3">
      <c r="A1730" s="57"/>
      <c r="B1730" s="51"/>
      <c r="C1730" s="51"/>
      <c r="D1730" s="51"/>
      <c r="E1730" s="51"/>
      <c r="F1730" s="51"/>
    </row>
    <row r="1731" spans="1:6" s="69" customFormat="1" ht="12" customHeight="1" x14ac:dyDescent="0.3">
      <c r="A1731" s="57"/>
      <c r="B1731" s="51"/>
      <c r="C1731" s="51"/>
      <c r="D1731" s="51"/>
      <c r="E1731" s="51"/>
      <c r="F1731" s="51"/>
    </row>
    <row r="1732" spans="1:6" s="69" customFormat="1" ht="12" customHeight="1" x14ac:dyDescent="0.3">
      <c r="A1732" s="57"/>
      <c r="B1732" s="51"/>
      <c r="C1732" s="51"/>
      <c r="D1732" s="51"/>
      <c r="E1732" s="51"/>
      <c r="F1732" s="51"/>
    </row>
    <row r="1733" spans="1:6" s="69" customFormat="1" ht="12" customHeight="1" x14ac:dyDescent="0.3">
      <c r="A1733" s="57"/>
      <c r="B1733" s="51"/>
      <c r="C1733" s="51"/>
      <c r="D1733" s="51"/>
      <c r="E1733" s="51"/>
      <c r="F1733" s="51"/>
    </row>
    <row r="1734" spans="1:6" s="69" customFormat="1" ht="12" customHeight="1" x14ac:dyDescent="0.3">
      <c r="A1734" s="57"/>
      <c r="B1734" s="51"/>
      <c r="C1734" s="51"/>
      <c r="D1734" s="51"/>
      <c r="E1734" s="51"/>
      <c r="F1734" s="51"/>
    </row>
    <row r="1735" spans="1:6" s="69" customFormat="1" ht="12" customHeight="1" x14ac:dyDescent="0.3">
      <c r="A1735" s="57"/>
      <c r="B1735" s="51"/>
      <c r="C1735" s="51"/>
      <c r="D1735" s="51"/>
      <c r="E1735" s="51"/>
      <c r="F1735" s="51"/>
    </row>
    <row r="1736" spans="1:6" s="69" customFormat="1" ht="12" customHeight="1" x14ac:dyDescent="0.3">
      <c r="A1736" s="57"/>
      <c r="B1736" s="51"/>
      <c r="C1736" s="51"/>
      <c r="D1736" s="51"/>
      <c r="E1736" s="51"/>
      <c r="F1736" s="51"/>
    </row>
    <row r="1737" spans="1:6" s="69" customFormat="1" ht="12" customHeight="1" x14ac:dyDescent="0.3">
      <c r="A1737" s="57"/>
      <c r="B1737" s="51"/>
      <c r="C1737" s="51"/>
      <c r="D1737" s="51"/>
      <c r="E1737" s="51"/>
      <c r="F1737" s="51"/>
    </row>
    <row r="1738" spans="1:6" s="69" customFormat="1" ht="12" customHeight="1" x14ac:dyDescent="0.3">
      <c r="A1738" s="57"/>
      <c r="B1738" s="51"/>
      <c r="C1738" s="51"/>
      <c r="D1738" s="51"/>
      <c r="E1738" s="51"/>
      <c r="F1738" s="51"/>
    </row>
    <row r="1739" spans="1:6" s="69" customFormat="1" ht="12" customHeight="1" x14ac:dyDescent="0.3">
      <c r="A1739" s="57"/>
      <c r="B1739" s="51"/>
      <c r="C1739" s="51"/>
      <c r="D1739" s="51"/>
      <c r="E1739" s="51"/>
      <c r="F1739" s="51"/>
    </row>
    <row r="1740" spans="1:6" s="69" customFormat="1" ht="12" customHeight="1" x14ac:dyDescent="0.3">
      <c r="A1740" s="57"/>
      <c r="B1740" s="51"/>
      <c r="C1740" s="51"/>
      <c r="D1740" s="51"/>
      <c r="E1740" s="51"/>
      <c r="F1740" s="51"/>
    </row>
    <row r="1741" spans="1:6" s="69" customFormat="1" ht="12" customHeight="1" x14ac:dyDescent="0.3">
      <c r="A1741" s="57"/>
      <c r="B1741" s="51"/>
      <c r="C1741" s="51"/>
      <c r="D1741" s="51"/>
      <c r="E1741" s="51"/>
      <c r="F1741" s="51"/>
    </row>
    <row r="1742" spans="1:6" s="69" customFormat="1" ht="12" customHeight="1" x14ac:dyDescent="0.3">
      <c r="A1742" s="57"/>
      <c r="B1742" s="51"/>
      <c r="C1742" s="51"/>
      <c r="D1742" s="51"/>
      <c r="E1742" s="51"/>
      <c r="F1742" s="51"/>
    </row>
    <row r="1743" spans="1:6" s="69" customFormat="1" ht="12" customHeight="1" x14ac:dyDescent="0.3">
      <c r="A1743" s="57"/>
      <c r="B1743" s="51"/>
      <c r="C1743" s="51"/>
      <c r="D1743" s="51"/>
      <c r="E1743" s="51"/>
      <c r="F1743" s="51"/>
    </row>
    <row r="1744" spans="1:6" s="69" customFormat="1" ht="12" customHeight="1" x14ac:dyDescent="0.3">
      <c r="A1744" s="57"/>
      <c r="B1744" s="51"/>
      <c r="C1744" s="51"/>
      <c r="D1744" s="51"/>
      <c r="E1744" s="51"/>
      <c r="F1744" s="51"/>
    </row>
    <row r="1745" spans="1:6" s="69" customFormat="1" ht="12" customHeight="1" x14ac:dyDescent="0.3">
      <c r="A1745" s="57"/>
      <c r="B1745" s="51"/>
      <c r="C1745" s="51"/>
      <c r="D1745" s="51"/>
      <c r="E1745" s="51"/>
      <c r="F1745" s="51"/>
    </row>
    <row r="1746" spans="1:6" s="69" customFormat="1" ht="12" customHeight="1" x14ac:dyDescent="0.3">
      <c r="A1746" s="57"/>
      <c r="B1746" s="51"/>
      <c r="C1746" s="51"/>
      <c r="D1746" s="51"/>
      <c r="E1746" s="51"/>
      <c r="F1746" s="51"/>
    </row>
    <row r="1747" spans="1:6" s="69" customFormat="1" ht="12" customHeight="1" x14ac:dyDescent="0.3">
      <c r="A1747" s="57"/>
      <c r="B1747" s="51"/>
      <c r="C1747" s="51"/>
      <c r="D1747" s="51"/>
      <c r="E1747" s="51"/>
      <c r="F1747" s="51"/>
    </row>
    <row r="1748" spans="1:6" s="69" customFormat="1" ht="12" customHeight="1" x14ac:dyDescent="0.3">
      <c r="A1748" s="57"/>
      <c r="B1748" s="51"/>
      <c r="C1748" s="51"/>
      <c r="D1748" s="51"/>
      <c r="E1748" s="51"/>
      <c r="F1748" s="51"/>
    </row>
    <row r="1749" spans="1:6" s="69" customFormat="1" ht="12" customHeight="1" x14ac:dyDescent="0.3">
      <c r="A1749" s="57"/>
      <c r="B1749" s="51"/>
      <c r="C1749" s="51"/>
      <c r="D1749" s="51"/>
      <c r="E1749" s="51"/>
      <c r="F1749" s="51"/>
    </row>
    <row r="1750" spans="1:6" s="69" customFormat="1" ht="12" customHeight="1" x14ac:dyDescent="0.3">
      <c r="A1750" s="57"/>
      <c r="B1750" s="51"/>
      <c r="C1750" s="51"/>
      <c r="D1750" s="51"/>
      <c r="E1750" s="51"/>
      <c r="F1750" s="51"/>
    </row>
    <row r="1751" spans="1:6" s="69" customFormat="1" ht="12" customHeight="1" x14ac:dyDescent="0.3">
      <c r="A1751" s="57"/>
      <c r="B1751" s="51"/>
      <c r="C1751" s="51"/>
      <c r="D1751" s="51"/>
      <c r="E1751" s="51"/>
      <c r="F1751" s="51"/>
    </row>
    <row r="1752" spans="1:6" s="69" customFormat="1" ht="12" customHeight="1" x14ac:dyDescent="0.3">
      <c r="A1752" s="57"/>
      <c r="B1752" s="51"/>
      <c r="C1752" s="51"/>
      <c r="D1752" s="51"/>
      <c r="E1752" s="51"/>
      <c r="F1752" s="51"/>
    </row>
    <row r="1753" spans="1:6" s="69" customFormat="1" ht="12" customHeight="1" x14ac:dyDescent="0.3">
      <c r="A1753" s="57"/>
      <c r="B1753" s="51"/>
      <c r="C1753" s="51"/>
      <c r="D1753" s="51"/>
      <c r="E1753" s="51"/>
      <c r="F1753" s="51"/>
    </row>
    <row r="1754" spans="1:6" s="69" customFormat="1" ht="12" customHeight="1" x14ac:dyDescent="0.3">
      <c r="A1754" s="57"/>
      <c r="B1754" s="51"/>
      <c r="C1754" s="51"/>
      <c r="D1754" s="51"/>
      <c r="E1754" s="51"/>
      <c r="F1754" s="51"/>
    </row>
    <row r="1755" spans="1:6" s="69" customFormat="1" ht="12" customHeight="1" x14ac:dyDescent="0.3">
      <c r="A1755" s="57"/>
      <c r="B1755" s="51"/>
      <c r="C1755" s="51"/>
      <c r="D1755" s="51"/>
      <c r="E1755" s="51"/>
      <c r="F1755" s="51"/>
    </row>
    <row r="1756" spans="1:6" s="69" customFormat="1" ht="12" customHeight="1" x14ac:dyDescent="0.3">
      <c r="A1756" s="57"/>
      <c r="B1756" s="51"/>
      <c r="C1756" s="51"/>
      <c r="D1756" s="51"/>
      <c r="E1756" s="51"/>
      <c r="F1756" s="51"/>
    </row>
    <row r="1757" spans="1:6" s="69" customFormat="1" ht="12" customHeight="1" x14ac:dyDescent="0.3">
      <c r="A1757" s="57"/>
      <c r="B1757" s="51"/>
      <c r="C1757" s="51"/>
      <c r="D1757" s="51"/>
      <c r="E1757" s="51"/>
      <c r="F1757" s="51"/>
    </row>
    <row r="1758" spans="1:6" s="69" customFormat="1" ht="12" customHeight="1" x14ac:dyDescent="0.3">
      <c r="A1758" s="57"/>
      <c r="B1758" s="51"/>
      <c r="C1758" s="51"/>
      <c r="D1758" s="51"/>
      <c r="E1758" s="51"/>
      <c r="F1758" s="51"/>
    </row>
    <row r="1759" spans="1:6" s="69" customFormat="1" ht="12" customHeight="1" x14ac:dyDescent="0.3">
      <c r="A1759" s="57"/>
      <c r="B1759" s="51"/>
      <c r="C1759" s="51"/>
      <c r="D1759" s="51"/>
      <c r="E1759" s="51"/>
      <c r="F1759" s="51"/>
    </row>
    <row r="1760" spans="1:6" s="69" customFormat="1" ht="12" customHeight="1" x14ac:dyDescent="0.3">
      <c r="A1760" s="57"/>
      <c r="B1760" s="51"/>
      <c r="C1760" s="51"/>
      <c r="D1760" s="51"/>
      <c r="E1760" s="51"/>
      <c r="F1760" s="51"/>
    </row>
    <row r="1761" spans="1:6" s="69" customFormat="1" ht="12" customHeight="1" x14ac:dyDescent="0.3">
      <c r="A1761" s="57"/>
      <c r="B1761" s="51"/>
      <c r="C1761" s="51"/>
      <c r="D1761" s="51"/>
      <c r="E1761" s="51"/>
      <c r="F1761" s="51"/>
    </row>
    <row r="1762" spans="1:6" s="69" customFormat="1" ht="12" customHeight="1" x14ac:dyDescent="0.3">
      <c r="A1762" s="57"/>
      <c r="B1762" s="51"/>
      <c r="C1762" s="51"/>
      <c r="D1762" s="51"/>
      <c r="E1762" s="51"/>
      <c r="F1762" s="51"/>
    </row>
    <row r="1763" spans="1:6" s="69" customFormat="1" ht="12" customHeight="1" x14ac:dyDescent="0.3">
      <c r="A1763" s="57"/>
      <c r="B1763" s="51"/>
      <c r="C1763" s="51"/>
      <c r="D1763" s="51"/>
      <c r="E1763" s="51"/>
      <c r="F1763" s="51"/>
    </row>
    <row r="1764" spans="1:6" s="69" customFormat="1" ht="12" customHeight="1" x14ac:dyDescent="0.3">
      <c r="A1764" s="57"/>
      <c r="B1764" s="51"/>
      <c r="C1764" s="51"/>
      <c r="D1764" s="51"/>
      <c r="E1764" s="51"/>
      <c r="F1764" s="51"/>
    </row>
    <row r="1765" spans="1:6" s="69" customFormat="1" ht="12" customHeight="1" x14ac:dyDescent="0.3">
      <c r="A1765" s="57"/>
      <c r="B1765" s="51"/>
      <c r="C1765" s="51"/>
      <c r="D1765" s="51"/>
      <c r="E1765" s="51"/>
      <c r="F1765" s="51"/>
    </row>
    <row r="1766" spans="1:6" s="69" customFormat="1" ht="12" customHeight="1" x14ac:dyDescent="0.3">
      <c r="A1766" s="57"/>
      <c r="B1766" s="51"/>
      <c r="C1766" s="51"/>
      <c r="D1766" s="51"/>
      <c r="E1766" s="51"/>
      <c r="F1766" s="51"/>
    </row>
    <row r="1767" spans="1:6" s="69" customFormat="1" ht="12" customHeight="1" x14ac:dyDescent="0.3">
      <c r="A1767" s="57"/>
      <c r="B1767" s="51"/>
      <c r="C1767" s="51"/>
      <c r="D1767" s="51"/>
      <c r="E1767" s="51"/>
      <c r="F1767" s="51"/>
    </row>
    <row r="1768" spans="1:6" s="69" customFormat="1" ht="12" customHeight="1" x14ac:dyDescent="0.3">
      <c r="A1768" s="57"/>
      <c r="B1768" s="51"/>
      <c r="C1768" s="51"/>
      <c r="D1768" s="51"/>
      <c r="E1768" s="51"/>
      <c r="F1768" s="51"/>
    </row>
    <row r="1769" spans="1:6" s="69" customFormat="1" ht="12" customHeight="1" x14ac:dyDescent="0.3">
      <c r="A1769" s="57"/>
      <c r="B1769" s="51"/>
      <c r="C1769" s="51"/>
      <c r="D1769" s="51"/>
      <c r="E1769" s="51"/>
      <c r="F1769" s="51"/>
    </row>
    <row r="1770" spans="1:6" s="69" customFormat="1" ht="12" customHeight="1" x14ac:dyDescent="0.3">
      <c r="A1770" s="57"/>
      <c r="B1770" s="51"/>
      <c r="C1770" s="51"/>
      <c r="D1770" s="51"/>
      <c r="E1770" s="51"/>
      <c r="F1770" s="51"/>
    </row>
    <row r="1771" spans="1:6" s="69" customFormat="1" ht="12" customHeight="1" x14ac:dyDescent="0.3">
      <c r="A1771" s="57"/>
      <c r="B1771" s="51"/>
      <c r="C1771" s="51"/>
      <c r="D1771" s="51"/>
      <c r="E1771" s="51"/>
      <c r="F1771" s="51"/>
    </row>
    <row r="1772" spans="1:6" s="69" customFormat="1" ht="12" customHeight="1" x14ac:dyDescent="0.3">
      <c r="A1772" s="57"/>
      <c r="B1772" s="51"/>
      <c r="C1772" s="51"/>
      <c r="D1772" s="51"/>
      <c r="E1772" s="51"/>
      <c r="F1772" s="51"/>
    </row>
    <row r="1773" spans="1:6" s="69" customFormat="1" ht="12" customHeight="1" x14ac:dyDescent="0.3">
      <c r="A1773" s="57"/>
      <c r="B1773" s="51"/>
      <c r="C1773" s="51"/>
      <c r="D1773" s="51"/>
      <c r="E1773" s="51"/>
      <c r="F1773" s="51"/>
    </row>
    <row r="1774" spans="1:6" s="69" customFormat="1" ht="12" customHeight="1" x14ac:dyDescent="0.3">
      <c r="A1774" s="57"/>
      <c r="B1774" s="51"/>
      <c r="C1774" s="51"/>
      <c r="D1774" s="51"/>
      <c r="E1774" s="51"/>
      <c r="F1774" s="51"/>
    </row>
    <row r="1775" spans="1:6" s="69" customFormat="1" ht="12" customHeight="1" x14ac:dyDescent="0.3">
      <c r="A1775" s="57"/>
      <c r="B1775" s="51"/>
      <c r="C1775" s="51"/>
      <c r="D1775" s="51"/>
      <c r="E1775" s="51"/>
      <c r="F1775" s="51"/>
    </row>
    <row r="1776" spans="1:6" s="69" customFormat="1" ht="12" customHeight="1" x14ac:dyDescent="0.3">
      <c r="A1776" s="57"/>
      <c r="B1776" s="51"/>
      <c r="C1776" s="51"/>
      <c r="D1776" s="51"/>
      <c r="E1776" s="51"/>
      <c r="F1776" s="51"/>
    </row>
    <row r="1777" spans="1:6" s="69" customFormat="1" ht="12" customHeight="1" x14ac:dyDescent="0.3">
      <c r="A1777" s="57"/>
      <c r="B1777" s="51"/>
      <c r="C1777" s="51"/>
      <c r="D1777" s="51"/>
      <c r="E1777" s="51"/>
      <c r="F1777" s="51"/>
    </row>
    <row r="1778" spans="1:6" s="69" customFormat="1" ht="12" customHeight="1" x14ac:dyDescent="0.3">
      <c r="A1778" s="57"/>
      <c r="B1778" s="51"/>
      <c r="C1778" s="51"/>
      <c r="D1778" s="51"/>
      <c r="E1778" s="51"/>
      <c r="F1778" s="51"/>
    </row>
    <row r="1779" spans="1:6" s="69" customFormat="1" ht="12" customHeight="1" x14ac:dyDescent="0.3">
      <c r="A1779" s="57"/>
      <c r="B1779" s="51"/>
      <c r="C1779" s="51"/>
      <c r="D1779" s="51"/>
      <c r="E1779" s="51"/>
      <c r="F1779" s="51"/>
    </row>
    <row r="1780" spans="1:6" s="69" customFormat="1" ht="12" customHeight="1" x14ac:dyDescent="0.3">
      <c r="A1780" s="57"/>
      <c r="B1780" s="51"/>
      <c r="C1780" s="51"/>
      <c r="D1780" s="51"/>
      <c r="E1780" s="51"/>
      <c r="F1780" s="51"/>
    </row>
    <row r="1781" spans="1:6" s="69" customFormat="1" ht="12" customHeight="1" x14ac:dyDescent="0.3">
      <c r="A1781" s="57"/>
      <c r="B1781" s="51"/>
      <c r="C1781" s="51"/>
      <c r="D1781" s="51"/>
      <c r="E1781" s="51"/>
      <c r="F1781" s="51"/>
    </row>
    <row r="1782" spans="1:6" s="69" customFormat="1" ht="12" customHeight="1" x14ac:dyDescent="0.3">
      <c r="A1782" s="57"/>
      <c r="B1782" s="51"/>
      <c r="C1782" s="51"/>
      <c r="D1782" s="51"/>
      <c r="E1782" s="51"/>
      <c r="F1782" s="51"/>
    </row>
    <row r="1783" spans="1:6" s="69" customFormat="1" ht="12" customHeight="1" x14ac:dyDescent="0.3">
      <c r="A1783" s="57"/>
      <c r="B1783" s="51"/>
      <c r="C1783" s="51"/>
      <c r="D1783" s="51"/>
      <c r="E1783" s="51"/>
      <c r="F1783" s="51"/>
    </row>
    <row r="1784" spans="1:6" s="69" customFormat="1" ht="12" customHeight="1" x14ac:dyDescent="0.3">
      <c r="A1784" s="57"/>
      <c r="B1784" s="51"/>
      <c r="C1784" s="51"/>
      <c r="D1784" s="51"/>
      <c r="E1784" s="51"/>
      <c r="F1784" s="51"/>
    </row>
    <row r="1785" spans="1:6" s="69" customFormat="1" ht="12" customHeight="1" x14ac:dyDescent="0.3">
      <c r="A1785" s="57"/>
      <c r="B1785" s="51"/>
      <c r="C1785" s="51"/>
      <c r="D1785" s="51"/>
      <c r="E1785" s="51"/>
      <c r="F1785" s="51"/>
    </row>
    <row r="1786" spans="1:6" s="69" customFormat="1" ht="12" customHeight="1" x14ac:dyDescent="0.3">
      <c r="A1786" s="57"/>
      <c r="B1786" s="51"/>
      <c r="C1786" s="51"/>
      <c r="D1786" s="51"/>
      <c r="E1786" s="51"/>
      <c r="F1786" s="51"/>
    </row>
    <row r="1787" spans="1:6" s="69" customFormat="1" ht="12" customHeight="1" x14ac:dyDescent="0.3">
      <c r="A1787" s="57"/>
      <c r="B1787" s="51"/>
      <c r="C1787" s="51"/>
      <c r="D1787" s="51"/>
      <c r="E1787" s="51"/>
      <c r="F1787" s="51"/>
    </row>
    <row r="1788" spans="1:6" s="69" customFormat="1" ht="12" customHeight="1" x14ac:dyDescent="0.3">
      <c r="A1788" s="57"/>
      <c r="B1788" s="51"/>
      <c r="C1788" s="51"/>
      <c r="D1788" s="51"/>
      <c r="E1788" s="51"/>
      <c r="F1788" s="51"/>
    </row>
    <row r="1789" spans="1:6" s="69" customFormat="1" ht="12" customHeight="1" x14ac:dyDescent="0.3">
      <c r="A1789" s="57"/>
      <c r="B1789" s="51"/>
      <c r="C1789" s="51"/>
      <c r="D1789" s="51"/>
      <c r="E1789" s="51"/>
      <c r="F1789" s="51"/>
    </row>
    <row r="1790" spans="1:6" s="69" customFormat="1" ht="12" customHeight="1" x14ac:dyDescent="0.3">
      <c r="A1790" s="57"/>
      <c r="B1790" s="51"/>
      <c r="C1790" s="51"/>
      <c r="D1790" s="51"/>
      <c r="E1790" s="51"/>
      <c r="F1790" s="51"/>
    </row>
    <row r="1791" spans="1:6" s="69" customFormat="1" ht="12" customHeight="1" x14ac:dyDescent="0.3">
      <c r="A1791" s="57"/>
      <c r="B1791" s="51"/>
      <c r="C1791" s="51"/>
      <c r="D1791" s="51"/>
      <c r="E1791" s="51"/>
      <c r="F1791" s="51"/>
    </row>
    <row r="1792" spans="1:6" s="69" customFormat="1" ht="12" customHeight="1" x14ac:dyDescent="0.3">
      <c r="A1792" s="57"/>
      <c r="B1792" s="51"/>
      <c r="C1792" s="51"/>
      <c r="D1792" s="51"/>
      <c r="E1792" s="51"/>
      <c r="F1792" s="51"/>
    </row>
    <row r="1793" spans="1:6" s="69" customFormat="1" ht="12" customHeight="1" x14ac:dyDescent="0.3">
      <c r="A1793" s="57"/>
      <c r="B1793" s="51"/>
      <c r="C1793" s="51"/>
      <c r="D1793" s="51"/>
      <c r="E1793" s="51"/>
      <c r="F1793" s="51"/>
    </row>
    <row r="1794" spans="1:6" s="69" customFormat="1" ht="12" customHeight="1" x14ac:dyDescent="0.3">
      <c r="A1794" s="57"/>
      <c r="B1794" s="51"/>
      <c r="C1794" s="51"/>
      <c r="D1794" s="51"/>
      <c r="E1794" s="51"/>
      <c r="F1794" s="51"/>
    </row>
    <row r="1795" spans="1:6" s="69" customFormat="1" ht="12" customHeight="1" x14ac:dyDescent="0.3">
      <c r="A1795" s="57"/>
      <c r="B1795" s="51"/>
      <c r="C1795" s="51"/>
      <c r="D1795" s="51"/>
      <c r="E1795" s="51"/>
      <c r="F1795" s="51"/>
    </row>
    <row r="1796" spans="1:6" s="69" customFormat="1" ht="12" customHeight="1" x14ac:dyDescent="0.3">
      <c r="A1796" s="57"/>
      <c r="B1796" s="51"/>
      <c r="C1796" s="51"/>
      <c r="D1796" s="51"/>
      <c r="E1796" s="51"/>
      <c r="F1796" s="51"/>
    </row>
    <row r="1797" spans="1:6" s="69" customFormat="1" ht="12" customHeight="1" x14ac:dyDescent="0.3">
      <c r="A1797" s="57"/>
      <c r="B1797" s="51"/>
      <c r="C1797" s="51"/>
      <c r="D1797" s="51"/>
      <c r="E1797" s="51"/>
      <c r="F1797" s="51"/>
    </row>
    <row r="1798" spans="1:6" s="69" customFormat="1" ht="12" customHeight="1" x14ac:dyDescent="0.3">
      <c r="A1798" s="57"/>
      <c r="B1798" s="51"/>
      <c r="C1798" s="51"/>
      <c r="D1798" s="51"/>
      <c r="E1798" s="51"/>
      <c r="F1798" s="51"/>
    </row>
    <row r="1799" spans="1:6" s="69" customFormat="1" ht="12" customHeight="1" x14ac:dyDescent="0.3">
      <c r="A1799" s="57"/>
      <c r="B1799" s="51"/>
      <c r="C1799" s="51"/>
      <c r="D1799" s="51"/>
      <c r="E1799" s="51"/>
      <c r="F1799" s="51"/>
    </row>
    <row r="1800" spans="1:6" s="69" customFormat="1" ht="12" customHeight="1" x14ac:dyDescent="0.3">
      <c r="A1800" s="57"/>
      <c r="B1800" s="51"/>
      <c r="C1800" s="51"/>
      <c r="D1800" s="51"/>
      <c r="E1800" s="51"/>
      <c r="F1800" s="51"/>
    </row>
    <row r="1801" spans="1:6" s="69" customFormat="1" ht="12" customHeight="1" x14ac:dyDescent="0.3">
      <c r="A1801" s="57"/>
      <c r="B1801" s="51"/>
      <c r="C1801" s="51"/>
      <c r="D1801" s="51"/>
      <c r="E1801" s="51"/>
      <c r="F1801" s="51"/>
    </row>
    <row r="1802" spans="1:6" s="69" customFormat="1" ht="12" customHeight="1" x14ac:dyDescent="0.3">
      <c r="A1802" s="57"/>
      <c r="B1802" s="51"/>
      <c r="C1802" s="51"/>
      <c r="D1802" s="51"/>
      <c r="E1802" s="51"/>
      <c r="F1802" s="51"/>
    </row>
    <row r="1803" spans="1:6" s="69" customFormat="1" ht="12" customHeight="1" x14ac:dyDescent="0.3">
      <c r="A1803" s="57"/>
      <c r="B1803" s="51"/>
      <c r="C1803" s="51"/>
      <c r="D1803" s="51"/>
      <c r="E1803" s="51"/>
      <c r="F1803" s="51"/>
    </row>
    <row r="1804" spans="1:6" s="69" customFormat="1" ht="12" customHeight="1" x14ac:dyDescent="0.3">
      <c r="A1804" s="57"/>
      <c r="B1804" s="51"/>
      <c r="C1804" s="51"/>
      <c r="D1804" s="51"/>
      <c r="E1804" s="51"/>
      <c r="F1804" s="51"/>
    </row>
    <row r="1805" spans="1:6" s="69" customFormat="1" ht="12" customHeight="1" x14ac:dyDescent="0.3">
      <c r="A1805" s="57"/>
      <c r="B1805" s="51"/>
      <c r="C1805" s="51"/>
      <c r="D1805" s="51"/>
      <c r="E1805" s="51"/>
      <c r="F1805" s="51"/>
    </row>
    <row r="1806" spans="1:6" s="69" customFormat="1" ht="12" customHeight="1" x14ac:dyDescent="0.3">
      <c r="A1806" s="57"/>
      <c r="B1806" s="51"/>
      <c r="C1806" s="51"/>
      <c r="D1806" s="51"/>
      <c r="E1806" s="51"/>
      <c r="F1806" s="51"/>
    </row>
    <row r="1807" spans="1:6" s="69" customFormat="1" ht="12" customHeight="1" x14ac:dyDescent="0.3">
      <c r="A1807" s="57"/>
      <c r="B1807" s="51"/>
      <c r="C1807" s="51"/>
      <c r="D1807" s="51"/>
      <c r="E1807" s="51"/>
      <c r="F1807" s="51"/>
    </row>
    <row r="1808" spans="1:6" s="69" customFormat="1" ht="12" customHeight="1" x14ac:dyDescent="0.3">
      <c r="A1808" s="57"/>
      <c r="B1808" s="51"/>
      <c r="C1808" s="51"/>
      <c r="D1808" s="51"/>
      <c r="E1808" s="51"/>
      <c r="F1808" s="51"/>
    </row>
    <row r="1809" spans="1:6" s="69" customFormat="1" ht="12" customHeight="1" x14ac:dyDescent="0.3">
      <c r="A1809" s="57"/>
      <c r="B1809" s="51"/>
      <c r="C1809" s="51"/>
      <c r="D1809" s="51"/>
      <c r="E1809" s="51"/>
      <c r="F1809" s="51"/>
    </row>
    <row r="1810" spans="1:6" s="69" customFormat="1" ht="12" customHeight="1" x14ac:dyDescent="0.3">
      <c r="A1810" s="57"/>
      <c r="B1810" s="51"/>
      <c r="C1810" s="51"/>
      <c r="D1810" s="51"/>
      <c r="E1810" s="51"/>
      <c r="F1810" s="51"/>
    </row>
    <row r="1811" spans="1:6" s="69" customFormat="1" ht="12" customHeight="1" x14ac:dyDescent="0.3">
      <c r="A1811" s="57"/>
      <c r="B1811" s="51"/>
      <c r="C1811" s="51"/>
      <c r="D1811" s="51"/>
      <c r="E1811" s="51"/>
      <c r="F1811" s="51"/>
    </row>
    <row r="1812" spans="1:6" s="69" customFormat="1" ht="12" customHeight="1" x14ac:dyDescent="0.3">
      <c r="A1812" s="57"/>
      <c r="B1812" s="51"/>
      <c r="C1812" s="51"/>
      <c r="D1812" s="51"/>
      <c r="E1812" s="51"/>
      <c r="F1812" s="51"/>
    </row>
    <row r="1813" spans="1:6" s="69" customFormat="1" ht="12" customHeight="1" x14ac:dyDescent="0.3">
      <c r="A1813" s="57"/>
      <c r="B1813" s="51"/>
      <c r="C1813" s="51"/>
      <c r="D1813" s="51"/>
      <c r="E1813" s="51"/>
      <c r="F1813" s="51"/>
    </row>
    <row r="1814" spans="1:6" s="69" customFormat="1" ht="12" customHeight="1" x14ac:dyDescent="0.3">
      <c r="A1814" s="57"/>
      <c r="B1814" s="51"/>
      <c r="C1814" s="51"/>
      <c r="D1814" s="51"/>
      <c r="E1814" s="51"/>
      <c r="F1814" s="51"/>
    </row>
    <row r="1815" spans="1:6" s="69" customFormat="1" ht="12" customHeight="1" x14ac:dyDescent="0.3">
      <c r="A1815" s="57"/>
      <c r="B1815" s="51"/>
      <c r="C1815" s="51"/>
      <c r="D1815" s="51"/>
      <c r="E1815" s="51"/>
      <c r="F1815" s="51"/>
    </row>
    <row r="1816" spans="1:6" s="69" customFormat="1" ht="12" customHeight="1" x14ac:dyDescent="0.3">
      <c r="A1816" s="57"/>
      <c r="B1816" s="51"/>
      <c r="C1816" s="51"/>
      <c r="D1816" s="51"/>
      <c r="E1816" s="51"/>
      <c r="F1816" s="51"/>
    </row>
    <row r="1817" spans="1:6" s="69" customFormat="1" ht="12" customHeight="1" x14ac:dyDescent="0.3">
      <c r="A1817" s="57"/>
      <c r="B1817" s="51"/>
      <c r="C1817" s="51"/>
      <c r="D1817" s="51"/>
      <c r="E1817" s="51"/>
      <c r="F1817" s="51"/>
    </row>
    <row r="1818" spans="1:6" s="69" customFormat="1" ht="12" customHeight="1" x14ac:dyDescent="0.3">
      <c r="A1818" s="57"/>
      <c r="B1818" s="51"/>
      <c r="C1818" s="51"/>
      <c r="D1818" s="51"/>
      <c r="E1818" s="51"/>
      <c r="F1818" s="51"/>
    </row>
    <row r="1819" spans="1:6" s="69" customFormat="1" ht="12" customHeight="1" x14ac:dyDescent="0.3">
      <c r="A1819" s="57"/>
      <c r="B1819" s="51"/>
      <c r="C1819" s="51"/>
      <c r="D1819" s="51"/>
      <c r="E1819" s="51"/>
      <c r="F1819" s="51"/>
    </row>
    <row r="1820" spans="1:6" s="69" customFormat="1" ht="12" customHeight="1" x14ac:dyDescent="0.3">
      <c r="A1820" s="57"/>
      <c r="B1820" s="51"/>
      <c r="C1820" s="51"/>
      <c r="D1820" s="51"/>
      <c r="E1820" s="51"/>
      <c r="F1820" s="51"/>
    </row>
    <row r="1821" spans="1:6" s="69" customFormat="1" ht="12" customHeight="1" x14ac:dyDescent="0.3">
      <c r="A1821" s="57"/>
      <c r="B1821" s="51"/>
      <c r="C1821" s="51"/>
      <c r="D1821" s="51"/>
      <c r="E1821" s="51"/>
      <c r="F1821" s="51"/>
    </row>
    <row r="1822" spans="1:6" s="69" customFormat="1" ht="12" customHeight="1" x14ac:dyDescent="0.3">
      <c r="A1822" s="57"/>
      <c r="B1822" s="51"/>
      <c r="C1822" s="51"/>
      <c r="D1822" s="51"/>
      <c r="E1822" s="51"/>
      <c r="F1822" s="51"/>
    </row>
    <row r="1823" spans="1:6" s="69" customFormat="1" ht="12" customHeight="1" x14ac:dyDescent="0.3">
      <c r="A1823" s="57"/>
      <c r="B1823" s="51"/>
      <c r="C1823" s="51"/>
      <c r="D1823" s="51"/>
      <c r="E1823" s="51"/>
      <c r="F1823" s="51"/>
    </row>
    <row r="1824" spans="1:6" s="69" customFormat="1" ht="12" customHeight="1" x14ac:dyDescent="0.3">
      <c r="A1824" s="57"/>
      <c r="B1824" s="51"/>
      <c r="C1824" s="51"/>
      <c r="D1824" s="51"/>
      <c r="E1824" s="51"/>
      <c r="F1824" s="51"/>
    </row>
    <row r="1825" spans="1:6" s="69" customFormat="1" ht="12" customHeight="1" x14ac:dyDescent="0.3">
      <c r="A1825" s="57"/>
      <c r="B1825" s="51"/>
      <c r="C1825" s="51"/>
      <c r="D1825" s="51"/>
      <c r="E1825" s="51"/>
      <c r="F1825" s="51"/>
    </row>
    <row r="1826" spans="1:6" s="69" customFormat="1" ht="12" customHeight="1" x14ac:dyDescent="0.3">
      <c r="A1826" s="57"/>
      <c r="B1826" s="51"/>
      <c r="C1826" s="51"/>
      <c r="D1826" s="51"/>
      <c r="E1826" s="51"/>
      <c r="F1826" s="51"/>
    </row>
    <row r="1827" spans="1:6" s="69" customFormat="1" ht="12" customHeight="1" x14ac:dyDescent="0.3">
      <c r="A1827" s="57"/>
      <c r="B1827" s="51"/>
      <c r="C1827" s="51"/>
      <c r="D1827" s="51"/>
      <c r="E1827" s="51"/>
      <c r="F1827" s="51"/>
    </row>
    <row r="1828" spans="1:6" s="69" customFormat="1" ht="12" customHeight="1" x14ac:dyDescent="0.3">
      <c r="A1828" s="57"/>
      <c r="B1828" s="51"/>
      <c r="C1828" s="51"/>
      <c r="D1828" s="51"/>
      <c r="E1828" s="51"/>
      <c r="F1828" s="51"/>
    </row>
    <row r="1829" spans="1:6" s="69" customFormat="1" ht="12" customHeight="1" x14ac:dyDescent="0.3">
      <c r="A1829" s="57"/>
      <c r="B1829" s="51"/>
      <c r="C1829" s="51"/>
      <c r="D1829" s="51"/>
      <c r="E1829" s="51"/>
      <c r="F1829" s="51"/>
    </row>
    <row r="1830" spans="1:6" s="69" customFormat="1" ht="12" customHeight="1" x14ac:dyDescent="0.3">
      <c r="A1830" s="57"/>
      <c r="B1830" s="51"/>
      <c r="C1830" s="51"/>
      <c r="D1830" s="51"/>
      <c r="E1830" s="51"/>
      <c r="F1830" s="51"/>
    </row>
    <row r="1831" spans="1:6" s="69" customFormat="1" ht="12" customHeight="1" x14ac:dyDescent="0.3">
      <c r="A1831" s="57"/>
      <c r="B1831" s="51"/>
      <c r="C1831" s="51"/>
      <c r="D1831" s="51"/>
      <c r="E1831" s="51"/>
      <c r="F1831" s="51"/>
    </row>
    <row r="1832" spans="1:6" s="69" customFormat="1" ht="12" customHeight="1" x14ac:dyDescent="0.3">
      <c r="A1832" s="57"/>
      <c r="B1832" s="51"/>
      <c r="C1832" s="51"/>
      <c r="D1832" s="51"/>
      <c r="E1832" s="51"/>
      <c r="F1832" s="51"/>
    </row>
    <row r="1833" spans="1:6" s="69" customFormat="1" ht="12" customHeight="1" x14ac:dyDescent="0.3">
      <c r="A1833" s="57"/>
      <c r="B1833" s="51"/>
      <c r="C1833" s="51"/>
      <c r="D1833" s="51"/>
      <c r="E1833" s="51"/>
      <c r="F1833" s="51"/>
    </row>
    <row r="1834" spans="1:6" s="69" customFormat="1" ht="12" customHeight="1" x14ac:dyDescent="0.3">
      <c r="A1834" s="57"/>
      <c r="B1834" s="51"/>
      <c r="C1834" s="51"/>
      <c r="D1834" s="51"/>
      <c r="E1834" s="51"/>
      <c r="F1834" s="51"/>
    </row>
    <row r="1835" spans="1:6" s="69" customFormat="1" ht="12" customHeight="1" x14ac:dyDescent="0.3">
      <c r="A1835" s="57"/>
      <c r="B1835" s="51"/>
      <c r="C1835" s="51"/>
      <c r="D1835" s="51"/>
      <c r="E1835" s="51"/>
      <c r="F1835" s="51"/>
    </row>
    <row r="1836" spans="1:6" s="69" customFormat="1" ht="12" customHeight="1" x14ac:dyDescent="0.3">
      <c r="A1836" s="57"/>
      <c r="B1836" s="51"/>
      <c r="C1836" s="51"/>
      <c r="D1836" s="51"/>
      <c r="E1836" s="51"/>
      <c r="F1836" s="51"/>
    </row>
    <row r="1837" spans="1:6" s="69" customFormat="1" ht="12" customHeight="1" x14ac:dyDescent="0.3">
      <c r="A1837" s="57"/>
      <c r="B1837" s="51"/>
      <c r="C1837" s="51"/>
      <c r="D1837" s="51"/>
      <c r="E1837" s="51"/>
      <c r="F1837" s="51"/>
    </row>
    <row r="1838" spans="1:6" s="69" customFormat="1" ht="12" customHeight="1" x14ac:dyDescent="0.3">
      <c r="A1838" s="57"/>
      <c r="B1838" s="51"/>
      <c r="C1838" s="51"/>
      <c r="D1838" s="51"/>
      <c r="E1838" s="51"/>
      <c r="F1838" s="51"/>
    </row>
    <row r="1839" spans="1:6" s="69" customFormat="1" ht="12" customHeight="1" x14ac:dyDescent="0.3">
      <c r="A1839" s="57"/>
      <c r="B1839" s="51"/>
      <c r="C1839" s="51"/>
      <c r="D1839" s="51"/>
      <c r="E1839" s="51"/>
      <c r="F1839" s="51"/>
    </row>
    <row r="1840" spans="1:6" s="69" customFormat="1" ht="12" customHeight="1" x14ac:dyDescent="0.3">
      <c r="A1840" s="57"/>
      <c r="B1840" s="51"/>
      <c r="C1840" s="51"/>
      <c r="D1840" s="51"/>
      <c r="E1840" s="51"/>
      <c r="F1840" s="51"/>
    </row>
    <row r="1841" spans="1:6" s="69" customFormat="1" ht="12" customHeight="1" x14ac:dyDescent="0.3">
      <c r="A1841" s="57"/>
      <c r="B1841" s="51"/>
      <c r="C1841" s="51"/>
      <c r="D1841" s="51"/>
      <c r="E1841" s="51"/>
      <c r="F1841" s="51"/>
    </row>
    <row r="1842" spans="1:6" s="69" customFormat="1" ht="12" customHeight="1" x14ac:dyDescent="0.3">
      <c r="A1842" s="57"/>
      <c r="B1842" s="51"/>
      <c r="C1842" s="51"/>
      <c r="D1842" s="51"/>
      <c r="E1842" s="51"/>
      <c r="F1842" s="51"/>
    </row>
    <row r="1843" spans="1:6" s="69" customFormat="1" ht="12" customHeight="1" x14ac:dyDescent="0.3">
      <c r="A1843" s="57"/>
      <c r="B1843" s="51"/>
      <c r="C1843" s="51"/>
      <c r="D1843" s="51"/>
      <c r="E1843" s="51"/>
      <c r="F1843" s="51"/>
    </row>
    <row r="1844" spans="1:6" s="69" customFormat="1" ht="12" customHeight="1" x14ac:dyDescent="0.3">
      <c r="A1844" s="57"/>
      <c r="B1844" s="51"/>
      <c r="C1844" s="51"/>
      <c r="D1844" s="51"/>
      <c r="E1844" s="51"/>
      <c r="F1844" s="51"/>
    </row>
    <row r="1845" spans="1:6" s="69" customFormat="1" ht="12" customHeight="1" x14ac:dyDescent="0.3">
      <c r="A1845" s="57"/>
      <c r="B1845" s="51"/>
      <c r="C1845" s="51"/>
      <c r="D1845" s="51"/>
      <c r="E1845" s="51"/>
      <c r="F1845" s="51"/>
    </row>
    <row r="1846" spans="1:6" s="69" customFormat="1" ht="12" customHeight="1" x14ac:dyDescent="0.3">
      <c r="A1846" s="57"/>
      <c r="B1846" s="51"/>
      <c r="C1846" s="51"/>
      <c r="D1846" s="51"/>
      <c r="E1846" s="51"/>
      <c r="F1846" s="51"/>
    </row>
    <row r="1847" spans="1:6" s="69" customFormat="1" ht="12" customHeight="1" x14ac:dyDescent="0.3">
      <c r="A1847" s="57"/>
      <c r="B1847" s="51"/>
      <c r="C1847" s="51"/>
      <c r="D1847" s="51"/>
      <c r="E1847" s="51"/>
      <c r="F1847" s="51"/>
    </row>
    <row r="1848" spans="1:6" s="69" customFormat="1" ht="12" customHeight="1" x14ac:dyDescent="0.3">
      <c r="A1848" s="57"/>
      <c r="B1848" s="51"/>
      <c r="C1848" s="51"/>
      <c r="D1848" s="51"/>
      <c r="E1848" s="51"/>
      <c r="F1848" s="51"/>
    </row>
    <row r="1849" spans="1:6" s="69" customFormat="1" ht="12" customHeight="1" x14ac:dyDescent="0.3">
      <c r="A1849" s="57"/>
      <c r="B1849" s="51"/>
      <c r="C1849" s="51"/>
      <c r="D1849" s="51"/>
      <c r="E1849" s="51"/>
      <c r="F1849" s="51"/>
    </row>
    <row r="1850" spans="1:6" s="69" customFormat="1" ht="12" customHeight="1" x14ac:dyDescent="0.3">
      <c r="A1850" s="57"/>
      <c r="B1850" s="51"/>
      <c r="C1850" s="51"/>
      <c r="D1850" s="51"/>
      <c r="E1850" s="51"/>
      <c r="F1850" s="51"/>
    </row>
    <row r="1851" spans="1:6" s="69" customFormat="1" ht="12" customHeight="1" x14ac:dyDescent="0.3">
      <c r="A1851" s="57"/>
      <c r="B1851" s="51"/>
      <c r="C1851" s="51"/>
      <c r="D1851" s="51"/>
      <c r="E1851" s="51"/>
      <c r="F1851" s="51"/>
    </row>
    <row r="1852" spans="1:6" s="69" customFormat="1" ht="12" customHeight="1" x14ac:dyDescent="0.3">
      <c r="A1852" s="57"/>
      <c r="B1852" s="51"/>
      <c r="C1852" s="51"/>
      <c r="D1852" s="51"/>
      <c r="E1852" s="51"/>
      <c r="F1852" s="51"/>
    </row>
    <row r="1853" spans="1:6" s="69" customFormat="1" ht="12" customHeight="1" x14ac:dyDescent="0.3">
      <c r="A1853" s="57"/>
      <c r="B1853" s="51"/>
      <c r="C1853" s="51"/>
      <c r="D1853" s="51"/>
      <c r="E1853" s="51"/>
      <c r="F1853" s="51"/>
    </row>
    <row r="1854" spans="1:6" s="69" customFormat="1" ht="12" customHeight="1" x14ac:dyDescent="0.3">
      <c r="A1854" s="57"/>
      <c r="B1854" s="51"/>
      <c r="C1854" s="51"/>
      <c r="D1854" s="51"/>
      <c r="E1854" s="51"/>
      <c r="F1854" s="51"/>
    </row>
    <row r="1855" spans="1:6" s="69" customFormat="1" ht="12" customHeight="1" x14ac:dyDescent="0.3">
      <c r="A1855" s="57"/>
      <c r="B1855" s="51"/>
      <c r="C1855" s="51"/>
      <c r="D1855" s="51"/>
      <c r="E1855" s="51"/>
      <c r="F1855" s="51"/>
    </row>
    <row r="1856" spans="1:6" s="69" customFormat="1" ht="12" customHeight="1" x14ac:dyDescent="0.3">
      <c r="A1856" s="57"/>
      <c r="B1856" s="51"/>
      <c r="C1856" s="51"/>
      <c r="D1856" s="51"/>
      <c r="E1856" s="51"/>
      <c r="F1856" s="51"/>
    </row>
    <row r="1857" spans="1:6" s="69" customFormat="1" ht="12" customHeight="1" x14ac:dyDescent="0.3">
      <c r="A1857" s="57"/>
      <c r="B1857" s="51"/>
      <c r="C1857" s="51"/>
      <c r="D1857" s="51"/>
      <c r="E1857" s="51"/>
      <c r="F1857" s="51"/>
    </row>
    <row r="1858" spans="1:6" s="69" customFormat="1" ht="12" customHeight="1" x14ac:dyDescent="0.3">
      <c r="A1858" s="57"/>
      <c r="B1858" s="51"/>
      <c r="C1858" s="51"/>
      <c r="D1858" s="51"/>
      <c r="E1858" s="51"/>
      <c r="F1858" s="51"/>
    </row>
    <row r="1859" spans="1:6" s="69" customFormat="1" ht="12" customHeight="1" x14ac:dyDescent="0.3">
      <c r="A1859" s="57"/>
      <c r="B1859" s="51"/>
      <c r="C1859" s="51"/>
      <c r="D1859" s="51"/>
      <c r="E1859" s="51"/>
      <c r="F1859" s="51"/>
    </row>
    <row r="1860" spans="1:6" s="69" customFormat="1" ht="12" customHeight="1" x14ac:dyDescent="0.3">
      <c r="A1860" s="57"/>
      <c r="B1860" s="51"/>
      <c r="C1860" s="51"/>
      <c r="D1860" s="51"/>
      <c r="E1860" s="51"/>
      <c r="F1860" s="51"/>
    </row>
    <row r="1861" spans="1:6" s="69" customFormat="1" ht="12" customHeight="1" x14ac:dyDescent="0.3">
      <c r="A1861" s="57"/>
      <c r="B1861" s="51"/>
      <c r="C1861" s="51"/>
      <c r="D1861" s="51"/>
      <c r="E1861" s="51"/>
      <c r="F1861" s="51"/>
    </row>
    <row r="1862" spans="1:6" s="69" customFormat="1" ht="12" customHeight="1" x14ac:dyDescent="0.3">
      <c r="A1862" s="57"/>
      <c r="B1862" s="51"/>
      <c r="C1862" s="51"/>
      <c r="D1862" s="51"/>
      <c r="E1862" s="51"/>
      <c r="F1862" s="51"/>
    </row>
    <row r="1863" spans="1:6" s="69" customFormat="1" ht="12" customHeight="1" x14ac:dyDescent="0.3">
      <c r="A1863" s="57"/>
      <c r="B1863" s="51"/>
      <c r="C1863" s="51"/>
      <c r="D1863" s="51"/>
      <c r="E1863" s="51"/>
      <c r="F1863" s="51"/>
    </row>
    <row r="1864" spans="1:6" s="69" customFormat="1" ht="12" customHeight="1" x14ac:dyDescent="0.3">
      <c r="A1864" s="57"/>
      <c r="B1864" s="51"/>
      <c r="C1864" s="51"/>
      <c r="D1864" s="51"/>
      <c r="E1864" s="51"/>
      <c r="F1864" s="51"/>
    </row>
    <row r="1865" spans="1:6" s="69" customFormat="1" ht="12" customHeight="1" x14ac:dyDescent="0.3">
      <c r="A1865" s="57"/>
      <c r="B1865" s="51"/>
      <c r="C1865" s="51"/>
      <c r="D1865" s="51"/>
      <c r="E1865" s="51"/>
      <c r="F1865" s="51"/>
    </row>
    <row r="1866" spans="1:6" s="69" customFormat="1" ht="12" customHeight="1" x14ac:dyDescent="0.3">
      <c r="A1866" s="57"/>
      <c r="B1866" s="51"/>
      <c r="C1866" s="51"/>
      <c r="D1866" s="51"/>
      <c r="E1866" s="51"/>
      <c r="F1866" s="51"/>
    </row>
    <row r="1867" spans="1:6" s="69" customFormat="1" ht="12" customHeight="1" x14ac:dyDescent="0.3">
      <c r="A1867" s="57"/>
      <c r="B1867" s="51"/>
      <c r="C1867" s="51"/>
      <c r="D1867" s="51"/>
      <c r="E1867" s="51"/>
      <c r="F1867" s="51"/>
    </row>
    <row r="1868" spans="1:6" s="69" customFormat="1" ht="12" customHeight="1" x14ac:dyDescent="0.3">
      <c r="A1868" s="57"/>
      <c r="B1868" s="51"/>
      <c r="C1868" s="51"/>
      <c r="D1868" s="51"/>
      <c r="E1868" s="51"/>
      <c r="F1868" s="51"/>
    </row>
    <row r="1869" spans="1:6" s="69" customFormat="1" ht="12" customHeight="1" x14ac:dyDescent="0.3">
      <c r="A1869" s="57"/>
      <c r="B1869" s="51"/>
      <c r="C1869" s="51"/>
      <c r="D1869" s="51"/>
      <c r="E1869" s="51"/>
      <c r="F1869" s="51"/>
    </row>
    <row r="1870" spans="1:6" s="69" customFormat="1" ht="12" customHeight="1" x14ac:dyDescent="0.3">
      <c r="A1870" s="57"/>
      <c r="B1870" s="51"/>
      <c r="C1870" s="51"/>
      <c r="D1870" s="51"/>
      <c r="E1870" s="51"/>
      <c r="F1870" s="51"/>
    </row>
    <row r="1871" spans="1:6" s="69" customFormat="1" ht="12" customHeight="1" x14ac:dyDescent="0.3">
      <c r="A1871" s="57"/>
      <c r="B1871" s="51"/>
      <c r="C1871" s="51"/>
      <c r="D1871" s="51"/>
      <c r="E1871" s="51"/>
      <c r="F1871" s="51"/>
    </row>
    <row r="1872" spans="1:6" s="69" customFormat="1" ht="12" customHeight="1" x14ac:dyDescent="0.3">
      <c r="A1872" s="57"/>
      <c r="B1872" s="51"/>
      <c r="C1872" s="51"/>
      <c r="D1872" s="51"/>
      <c r="E1872" s="51"/>
      <c r="F1872" s="51"/>
    </row>
    <row r="1873" spans="1:6" s="69" customFormat="1" ht="12" customHeight="1" x14ac:dyDescent="0.3">
      <c r="A1873" s="57"/>
      <c r="B1873" s="51"/>
      <c r="C1873" s="51"/>
      <c r="D1873" s="51"/>
      <c r="E1873" s="51"/>
      <c r="F1873" s="51"/>
    </row>
    <row r="1874" spans="1:6" s="69" customFormat="1" ht="12" customHeight="1" x14ac:dyDescent="0.3">
      <c r="A1874" s="57"/>
      <c r="B1874" s="51"/>
      <c r="C1874" s="51"/>
      <c r="D1874" s="51"/>
      <c r="E1874" s="51"/>
      <c r="F1874" s="51"/>
    </row>
    <row r="1875" spans="1:6" s="69" customFormat="1" ht="12" customHeight="1" x14ac:dyDescent="0.3">
      <c r="A1875" s="57"/>
      <c r="B1875" s="51"/>
      <c r="C1875" s="51"/>
      <c r="D1875" s="51"/>
      <c r="E1875" s="51"/>
      <c r="F1875" s="51"/>
    </row>
    <row r="1876" spans="1:6" s="69" customFormat="1" ht="12" customHeight="1" x14ac:dyDescent="0.3">
      <c r="A1876" s="57"/>
      <c r="B1876" s="51"/>
      <c r="C1876" s="51"/>
      <c r="D1876" s="51"/>
      <c r="E1876" s="51"/>
      <c r="F1876" s="51"/>
    </row>
    <row r="1877" spans="1:6" s="69" customFormat="1" ht="12" customHeight="1" x14ac:dyDescent="0.3">
      <c r="A1877" s="57"/>
      <c r="B1877" s="51"/>
      <c r="C1877" s="51"/>
      <c r="D1877" s="51"/>
      <c r="E1877" s="51"/>
      <c r="F1877" s="51"/>
    </row>
    <row r="1878" spans="1:6" s="69" customFormat="1" ht="12" customHeight="1" x14ac:dyDescent="0.3">
      <c r="A1878" s="57"/>
      <c r="B1878" s="51"/>
      <c r="C1878" s="51"/>
      <c r="D1878" s="51"/>
      <c r="E1878" s="51"/>
      <c r="F1878" s="51"/>
    </row>
    <row r="1879" spans="1:6" s="69" customFormat="1" ht="12" customHeight="1" x14ac:dyDescent="0.3">
      <c r="A1879" s="57"/>
      <c r="B1879" s="51"/>
      <c r="C1879" s="51"/>
      <c r="D1879" s="51"/>
      <c r="E1879" s="51"/>
      <c r="F1879" s="51"/>
    </row>
    <row r="1880" spans="1:6" s="69" customFormat="1" ht="12" customHeight="1" x14ac:dyDescent="0.3">
      <c r="A1880" s="57"/>
      <c r="B1880" s="51"/>
      <c r="C1880" s="51"/>
      <c r="D1880" s="51"/>
      <c r="E1880" s="51"/>
      <c r="F1880" s="51"/>
    </row>
    <row r="1881" spans="1:6" s="69" customFormat="1" ht="12" customHeight="1" x14ac:dyDescent="0.3">
      <c r="A1881" s="57"/>
      <c r="B1881" s="51"/>
      <c r="C1881" s="51"/>
      <c r="D1881" s="51"/>
      <c r="E1881" s="51"/>
      <c r="F1881" s="51"/>
    </row>
    <row r="1882" spans="1:6" s="69" customFormat="1" ht="12" customHeight="1" x14ac:dyDescent="0.3">
      <c r="A1882" s="57"/>
      <c r="B1882" s="51"/>
      <c r="C1882" s="51"/>
      <c r="D1882" s="51"/>
      <c r="E1882" s="51"/>
      <c r="F1882" s="51"/>
    </row>
    <row r="1883" spans="1:6" s="69" customFormat="1" ht="12" customHeight="1" x14ac:dyDescent="0.3">
      <c r="A1883" s="57"/>
      <c r="B1883" s="51"/>
      <c r="C1883" s="51"/>
      <c r="D1883" s="51"/>
      <c r="E1883" s="51"/>
      <c r="F1883" s="51"/>
    </row>
    <row r="1884" spans="1:6" s="69" customFormat="1" ht="12" customHeight="1" x14ac:dyDescent="0.3">
      <c r="A1884" s="57"/>
      <c r="B1884" s="51"/>
      <c r="C1884" s="51"/>
      <c r="D1884" s="51"/>
      <c r="E1884" s="51"/>
      <c r="F1884" s="51"/>
    </row>
    <row r="1885" spans="1:6" s="69" customFormat="1" ht="12" customHeight="1" x14ac:dyDescent="0.3">
      <c r="A1885" s="57"/>
      <c r="B1885" s="51"/>
      <c r="C1885" s="51"/>
      <c r="D1885" s="51"/>
      <c r="E1885" s="51"/>
      <c r="F1885" s="51"/>
    </row>
    <row r="1886" spans="1:6" s="69" customFormat="1" ht="12" customHeight="1" x14ac:dyDescent="0.3">
      <c r="A1886" s="57"/>
      <c r="B1886" s="51"/>
      <c r="C1886" s="51"/>
      <c r="D1886" s="51"/>
      <c r="E1886" s="51"/>
      <c r="F1886" s="51"/>
    </row>
    <row r="1887" spans="1:6" s="69" customFormat="1" ht="12" customHeight="1" x14ac:dyDescent="0.3">
      <c r="A1887" s="57"/>
      <c r="B1887" s="51"/>
      <c r="C1887" s="51"/>
      <c r="D1887" s="51"/>
      <c r="E1887" s="51"/>
      <c r="F1887" s="51"/>
    </row>
    <row r="1888" spans="1:6" s="69" customFormat="1" ht="12" customHeight="1" x14ac:dyDescent="0.3">
      <c r="A1888" s="57"/>
      <c r="B1888" s="51"/>
      <c r="C1888" s="51"/>
      <c r="D1888" s="51"/>
      <c r="E1888" s="51"/>
      <c r="F1888" s="51"/>
    </row>
    <row r="1889" spans="1:6" s="69" customFormat="1" ht="12" customHeight="1" x14ac:dyDescent="0.3">
      <c r="A1889" s="57"/>
      <c r="B1889" s="51"/>
      <c r="C1889" s="51"/>
      <c r="D1889" s="51"/>
      <c r="E1889" s="51"/>
      <c r="F1889" s="51"/>
    </row>
    <row r="1890" spans="1:6" s="69" customFormat="1" ht="12" customHeight="1" x14ac:dyDescent="0.3">
      <c r="A1890" s="57"/>
      <c r="B1890" s="51"/>
      <c r="C1890" s="51"/>
      <c r="D1890" s="51"/>
      <c r="E1890" s="51"/>
      <c r="F1890" s="51"/>
    </row>
    <row r="1891" spans="1:6" s="69" customFormat="1" ht="12" customHeight="1" x14ac:dyDescent="0.3">
      <c r="A1891" s="57"/>
      <c r="B1891" s="51"/>
      <c r="C1891" s="51"/>
      <c r="D1891" s="51"/>
      <c r="E1891" s="51"/>
      <c r="F1891" s="51"/>
    </row>
    <row r="1892" spans="1:6" s="69" customFormat="1" ht="12" customHeight="1" x14ac:dyDescent="0.3">
      <c r="A1892" s="57"/>
      <c r="B1892" s="51"/>
      <c r="C1892" s="51"/>
      <c r="D1892" s="51"/>
      <c r="E1892" s="51"/>
      <c r="F1892" s="51"/>
    </row>
    <row r="1893" spans="1:6" s="69" customFormat="1" ht="12" customHeight="1" x14ac:dyDescent="0.3">
      <c r="A1893" s="57"/>
      <c r="B1893" s="51"/>
      <c r="C1893" s="51"/>
      <c r="D1893" s="51"/>
      <c r="E1893" s="51"/>
      <c r="F1893" s="51"/>
    </row>
    <row r="1894" spans="1:6" s="69" customFormat="1" ht="12" customHeight="1" x14ac:dyDescent="0.3">
      <c r="A1894" s="57"/>
      <c r="B1894" s="51"/>
      <c r="C1894" s="51"/>
      <c r="D1894" s="51"/>
      <c r="E1894" s="51"/>
      <c r="F1894" s="51"/>
    </row>
    <row r="1895" spans="1:6" s="69" customFormat="1" ht="12" customHeight="1" x14ac:dyDescent="0.3">
      <c r="A1895" s="57"/>
      <c r="B1895" s="51"/>
      <c r="C1895" s="51"/>
      <c r="D1895" s="51"/>
      <c r="E1895" s="51"/>
      <c r="F1895" s="51"/>
    </row>
    <row r="1896" spans="1:6" s="69" customFormat="1" ht="12" customHeight="1" x14ac:dyDescent="0.3">
      <c r="A1896" s="57"/>
      <c r="B1896" s="51"/>
      <c r="C1896" s="51"/>
      <c r="D1896" s="51"/>
      <c r="E1896" s="51"/>
      <c r="F1896" s="51"/>
    </row>
    <row r="1897" spans="1:6" s="69" customFormat="1" ht="12" customHeight="1" x14ac:dyDescent="0.3">
      <c r="A1897" s="57"/>
      <c r="B1897" s="51"/>
      <c r="C1897" s="51"/>
      <c r="D1897" s="51"/>
      <c r="E1897" s="51"/>
      <c r="F1897" s="51"/>
    </row>
    <row r="1898" spans="1:6" s="69" customFormat="1" ht="12" customHeight="1" x14ac:dyDescent="0.3">
      <c r="A1898" s="57"/>
      <c r="B1898" s="51"/>
      <c r="C1898" s="51"/>
      <c r="D1898" s="51"/>
      <c r="E1898" s="51"/>
      <c r="F1898" s="51"/>
    </row>
    <row r="1899" spans="1:6" s="69" customFormat="1" ht="12" customHeight="1" x14ac:dyDescent="0.3">
      <c r="A1899" s="57"/>
      <c r="B1899" s="51"/>
      <c r="C1899" s="51"/>
      <c r="D1899" s="51"/>
      <c r="E1899" s="51"/>
      <c r="F1899" s="51"/>
    </row>
    <row r="1900" spans="1:6" s="69" customFormat="1" ht="12" customHeight="1" x14ac:dyDescent="0.3">
      <c r="A1900" s="57"/>
      <c r="B1900" s="51"/>
      <c r="C1900" s="51"/>
      <c r="D1900" s="51"/>
      <c r="E1900" s="51"/>
      <c r="F1900" s="51"/>
    </row>
    <row r="1901" spans="1:6" s="69" customFormat="1" ht="12" customHeight="1" x14ac:dyDescent="0.3">
      <c r="A1901" s="57"/>
      <c r="B1901" s="51"/>
      <c r="C1901" s="51"/>
      <c r="D1901" s="51"/>
      <c r="E1901" s="51"/>
      <c r="F1901" s="51"/>
    </row>
    <row r="1902" spans="1:6" s="69" customFormat="1" ht="12" customHeight="1" x14ac:dyDescent="0.3">
      <c r="A1902" s="57"/>
      <c r="B1902" s="51"/>
      <c r="C1902" s="51"/>
      <c r="D1902" s="51"/>
      <c r="E1902" s="51"/>
      <c r="F1902" s="51"/>
    </row>
    <row r="1903" spans="1:6" s="69" customFormat="1" ht="12" customHeight="1" x14ac:dyDescent="0.3">
      <c r="A1903" s="57"/>
      <c r="B1903" s="51"/>
      <c r="C1903" s="51"/>
      <c r="D1903" s="51"/>
      <c r="E1903" s="51"/>
      <c r="F1903" s="51"/>
    </row>
    <row r="1904" spans="1:6" s="69" customFormat="1" ht="12" customHeight="1" x14ac:dyDescent="0.3">
      <c r="A1904" s="57"/>
      <c r="B1904" s="51"/>
      <c r="C1904" s="51"/>
      <c r="D1904" s="51"/>
      <c r="E1904" s="51"/>
      <c r="F1904" s="51"/>
    </row>
    <row r="1905" spans="1:6" s="69" customFormat="1" ht="12" customHeight="1" x14ac:dyDescent="0.3">
      <c r="A1905" s="57"/>
      <c r="B1905" s="51"/>
      <c r="C1905" s="51"/>
      <c r="D1905" s="51"/>
      <c r="E1905" s="51"/>
      <c r="F1905" s="51"/>
    </row>
    <row r="1906" spans="1:6" s="69" customFormat="1" ht="12" customHeight="1" x14ac:dyDescent="0.3">
      <c r="A1906" s="57"/>
      <c r="B1906" s="51"/>
      <c r="C1906" s="51"/>
      <c r="D1906" s="51"/>
      <c r="E1906" s="51"/>
      <c r="F1906" s="51"/>
    </row>
    <row r="1907" spans="1:6" s="69" customFormat="1" ht="12" customHeight="1" x14ac:dyDescent="0.3">
      <c r="A1907" s="57"/>
      <c r="B1907" s="51"/>
      <c r="C1907" s="51"/>
      <c r="D1907" s="51"/>
      <c r="E1907" s="51"/>
      <c r="F1907" s="51"/>
    </row>
    <row r="1908" spans="1:6" s="69" customFormat="1" ht="12" customHeight="1" x14ac:dyDescent="0.3">
      <c r="A1908" s="57"/>
      <c r="B1908" s="51"/>
      <c r="C1908" s="51"/>
      <c r="D1908" s="51"/>
      <c r="E1908" s="51"/>
      <c r="F1908" s="51"/>
    </row>
    <row r="1909" spans="1:6" s="69" customFormat="1" ht="12" customHeight="1" x14ac:dyDescent="0.3">
      <c r="A1909" s="57"/>
      <c r="B1909" s="51"/>
      <c r="C1909" s="51"/>
      <c r="D1909" s="51"/>
      <c r="E1909" s="51"/>
      <c r="F1909" s="51"/>
    </row>
    <row r="1910" spans="1:6" s="69" customFormat="1" ht="12" customHeight="1" x14ac:dyDescent="0.3">
      <c r="A1910" s="57"/>
      <c r="B1910" s="51"/>
      <c r="C1910" s="51"/>
      <c r="D1910" s="51"/>
      <c r="E1910" s="51"/>
      <c r="F1910" s="51"/>
    </row>
    <row r="1911" spans="1:6" s="69" customFormat="1" ht="12" customHeight="1" x14ac:dyDescent="0.3">
      <c r="A1911" s="57"/>
      <c r="B1911" s="51"/>
      <c r="C1911" s="51"/>
      <c r="D1911" s="51"/>
      <c r="E1911" s="51"/>
      <c r="F1911" s="51"/>
    </row>
    <row r="1912" spans="1:6" s="69" customFormat="1" ht="12" customHeight="1" x14ac:dyDescent="0.3">
      <c r="A1912" s="57"/>
      <c r="B1912" s="51"/>
      <c r="C1912" s="51"/>
      <c r="D1912" s="51"/>
      <c r="E1912" s="51"/>
      <c r="F1912" s="51"/>
    </row>
    <row r="1913" spans="1:6" s="69" customFormat="1" ht="12" customHeight="1" x14ac:dyDescent="0.3">
      <c r="A1913" s="57"/>
      <c r="B1913" s="51"/>
      <c r="C1913" s="51"/>
      <c r="D1913" s="51"/>
      <c r="E1913" s="51"/>
      <c r="F1913" s="51"/>
    </row>
    <row r="1914" spans="1:6" s="69" customFormat="1" ht="12" customHeight="1" x14ac:dyDescent="0.3">
      <c r="A1914" s="57"/>
      <c r="B1914" s="51"/>
      <c r="C1914" s="51"/>
      <c r="D1914" s="51"/>
      <c r="E1914" s="51"/>
      <c r="F1914" s="51"/>
    </row>
    <row r="1915" spans="1:6" s="69" customFormat="1" ht="12" customHeight="1" x14ac:dyDescent="0.3">
      <c r="A1915" s="57"/>
      <c r="B1915" s="51"/>
      <c r="C1915" s="51"/>
      <c r="D1915" s="51"/>
      <c r="E1915" s="51"/>
      <c r="F1915" s="51"/>
    </row>
    <row r="1916" spans="1:6" s="69" customFormat="1" ht="12" customHeight="1" x14ac:dyDescent="0.3">
      <c r="A1916" s="57"/>
      <c r="B1916" s="51"/>
      <c r="C1916" s="51"/>
      <c r="D1916" s="51"/>
      <c r="E1916" s="51"/>
      <c r="F1916" s="51"/>
    </row>
    <row r="1917" spans="1:6" s="69" customFormat="1" ht="12" customHeight="1" x14ac:dyDescent="0.3">
      <c r="A1917" s="57"/>
      <c r="B1917" s="51"/>
      <c r="C1917" s="51"/>
      <c r="D1917" s="51"/>
      <c r="E1917" s="51"/>
      <c r="F1917" s="51"/>
    </row>
    <row r="1918" spans="1:6" s="69" customFormat="1" ht="12" customHeight="1" x14ac:dyDescent="0.3">
      <c r="A1918" s="57"/>
      <c r="B1918" s="51"/>
      <c r="C1918" s="51"/>
      <c r="D1918" s="51"/>
      <c r="E1918" s="51"/>
      <c r="F1918" s="51"/>
    </row>
    <row r="1919" spans="1:6" s="69" customFormat="1" ht="12" customHeight="1" x14ac:dyDescent="0.3">
      <c r="A1919" s="57"/>
      <c r="B1919" s="51"/>
      <c r="C1919" s="51"/>
      <c r="D1919" s="51"/>
      <c r="E1919" s="51"/>
      <c r="F1919" s="51"/>
    </row>
    <row r="1920" spans="1:6" s="69" customFormat="1" ht="12" customHeight="1" x14ac:dyDescent="0.3">
      <c r="A1920" s="57"/>
      <c r="B1920" s="51"/>
      <c r="C1920" s="51"/>
      <c r="D1920" s="51"/>
      <c r="E1920" s="51"/>
      <c r="F1920" s="51"/>
    </row>
    <row r="1921" spans="1:6" s="69" customFormat="1" ht="12" customHeight="1" x14ac:dyDescent="0.3">
      <c r="A1921" s="57"/>
      <c r="B1921" s="51"/>
      <c r="C1921" s="51"/>
      <c r="D1921" s="51"/>
      <c r="E1921" s="51"/>
      <c r="F1921" s="51"/>
    </row>
    <row r="1922" spans="1:6" s="69" customFormat="1" ht="12" customHeight="1" x14ac:dyDescent="0.3">
      <c r="A1922" s="57"/>
      <c r="B1922" s="51"/>
      <c r="C1922" s="51"/>
      <c r="D1922" s="51"/>
      <c r="E1922" s="51"/>
      <c r="F1922" s="51"/>
    </row>
    <row r="1923" spans="1:6" s="69" customFormat="1" ht="12" customHeight="1" x14ac:dyDescent="0.3">
      <c r="A1923" s="57"/>
      <c r="B1923" s="51"/>
      <c r="C1923" s="51"/>
      <c r="D1923" s="51"/>
      <c r="E1923" s="51"/>
      <c r="F1923" s="51"/>
    </row>
    <row r="1924" spans="1:6" s="69" customFormat="1" ht="12" customHeight="1" x14ac:dyDescent="0.3">
      <c r="A1924" s="57"/>
      <c r="B1924" s="51"/>
      <c r="C1924" s="51"/>
      <c r="D1924" s="51"/>
      <c r="E1924" s="51"/>
      <c r="F1924" s="51"/>
    </row>
    <row r="1925" spans="1:6" s="69" customFormat="1" ht="12" customHeight="1" x14ac:dyDescent="0.3">
      <c r="A1925" s="57"/>
      <c r="B1925" s="51"/>
      <c r="C1925" s="51"/>
      <c r="D1925" s="51"/>
      <c r="E1925" s="51"/>
      <c r="F1925" s="51"/>
    </row>
    <row r="1926" spans="1:6" s="69" customFormat="1" ht="12" customHeight="1" x14ac:dyDescent="0.3">
      <c r="A1926" s="57"/>
      <c r="B1926" s="51"/>
      <c r="C1926" s="51"/>
      <c r="D1926" s="51"/>
      <c r="E1926" s="51"/>
      <c r="F1926" s="51"/>
    </row>
    <row r="1927" spans="1:6" s="69" customFormat="1" ht="12" customHeight="1" x14ac:dyDescent="0.3">
      <c r="A1927" s="57"/>
      <c r="B1927" s="51"/>
      <c r="C1927" s="51"/>
      <c r="D1927" s="51"/>
      <c r="E1927" s="51"/>
      <c r="F1927" s="51"/>
    </row>
    <row r="1928" spans="1:6" s="69" customFormat="1" ht="12" customHeight="1" x14ac:dyDescent="0.3">
      <c r="A1928" s="57"/>
      <c r="B1928" s="51"/>
      <c r="C1928" s="51"/>
      <c r="D1928" s="51"/>
      <c r="E1928" s="51"/>
      <c r="F1928" s="51"/>
    </row>
    <row r="1929" spans="1:6" s="69" customFormat="1" ht="12" customHeight="1" x14ac:dyDescent="0.3">
      <c r="A1929" s="57"/>
      <c r="B1929" s="51"/>
      <c r="C1929" s="51"/>
      <c r="D1929" s="51"/>
      <c r="E1929" s="51"/>
      <c r="F1929" s="51"/>
    </row>
    <row r="1930" spans="1:6" s="69" customFormat="1" ht="12" customHeight="1" x14ac:dyDescent="0.3">
      <c r="A1930" s="57"/>
      <c r="B1930" s="51"/>
      <c r="C1930" s="51"/>
      <c r="D1930" s="51"/>
      <c r="E1930" s="51"/>
      <c r="F1930" s="51"/>
    </row>
    <row r="1931" spans="1:6" s="69" customFormat="1" ht="12" customHeight="1" x14ac:dyDescent="0.3">
      <c r="A1931" s="57"/>
      <c r="B1931" s="51"/>
      <c r="C1931" s="51"/>
      <c r="D1931" s="51"/>
      <c r="E1931" s="51"/>
      <c r="F1931" s="51"/>
    </row>
    <row r="1932" spans="1:6" s="69" customFormat="1" ht="12" customHeight="1" x14ac:dyDescent="0.3">
      <c r="A1932" s="57"/>
      <c r="B1932" s="51"/>
      <c r="C1932" s="51"/>
      <c r="D1932" s="51"/>
      <c r="E1932" s="51"/>
      <c r="F1932" s="51"/>
    </row>
    <row r="1933" spans="1:6" s="69" customFormat="1" ht="12" customHeight="1" x14ac:dyDescent="0.3">
      <c r="A1933" s="57"/>
      <c r="B1933" s="51"/>
      <c r="C1933" s="51"/>
      <c r="D1933" s="51"/>
      <c r="E1933" s="51"/>
      <c r="F1933" s="51"/>
    </row>
    <row r="1934" spans="1:6" s="69" customFormat="1" ht="12" customHeight="1" x14ac:dyDescent="0.3">
      <c r="A1934" s="57"/>
      <c r="B1934" s="51"/>
      <c r="C1934" s="51"/>
      <c r="D1934" s="51"/>
      <c r="E1934" s="51"/>
      <c r="F1934" s="51"/>
    </row>
    <row r="1935" spans="1:6" s="69" customFormat="1" ht="12" customHeight="1" x14ac:dyDescent="0.3">
      <c r="A1935" s="57"/>
      <c r="B1935" s="51"/>
      <c r="C1935" s="51"/>
      <c r="D1935" s="51"/>
      <c r="E1935" s="51"/>
      <c r="F1935" s="51"/>
    </row>
    <row r="1936" spans="1:6" s="69" customFormat="1" ht="12" customHeight="1" x14ac:dyDescent="0.3">
      <c r="A1936" s="57"/>
      <c r="B1936" s="51"/>
      <c r="C1936" s="51"/>
      <c r="D1936" s="51"/>
      <c r="E1936" s="51"/>
      <c r="F1936" s="51"/>
    </row>
    <row r="1937" spans="1:6" s="69" customFormat="1" ht="12" customHeight="1" x14ac:dyDescent="0.3">
      <c r="A1937" s="57"/>
      <c r="B1937" s="51"/>
      <c r="C1937" s="51"/>
      <c r="D1937" s="51"/>
      <c r="E1937" s="51"/>
      <c r="F1937" s="51"/>
    </row>
    <row r="1938" spans="1:6" s="69" customFormat="1" ht="12" customHeight="1" x14ac:dyDescent="0.3">
      <c r="A1938" s="57"/>
      <c r="B1938" s="51"/>
      <c r="C1938" s="51"/>
      <c r="D1938" s="51"/>
      <c r="E1938" s="51"/>
      <c r="F1938" s="51"/>
    </row>
    <row r="1939" spans="1:6" s="69" customFormat="1" ht="12" customHeight="1" x14ac:dyDescent="0.3">
      <c r="A1939" s="57"/>
      <c r="B1939" s="51"/>
      <c r="C1939" s="51"/>
      <c r="D1939" s="51"/>
      <c r="E1939" s="51"/>
      <c r="F1939" s="51"/>
    </row>
    <row r="1940" spans="1:6" s="69" customFormat="1" ht="12" customHeight="1" x14ac:dyDescent="0.3">
      <c r="A1940" s="57"/>
      <c r="B1940" s="51"/>
      <c r="C1940" s="51"/>
      <c r="D1940" s="51"/>
      <c r="E1940" s="51"/>
      <c r="F1940" s="51"/>
    </row>
    <row r="1941" spans="1:6" s="69" customFormat="1" ht="12" customHeight="1" x14ac:dyDescent="0.3">
      <c r="A1941" s="57"/>
      <c r="B1941" s="51"/>
      <c r="C1941" s="51"/>
      <c r="D1941" s="51"/>
      <c r="E1941" s="51"/>
      <c r="F1941" s="51"/>
    </row>
    <row r="1942" spans="1:6" s="69" customFormat="1" ht="12" customHeight="1" x14ac:dyDescent="0.3">
      <c r="A1942" s="57"/>
      <c r="B1942" s="51"/>
      <c r="C1942" s="51"/>
      <c r="D1942" s="51"/>
      <c r="E1942" s="51"/>
      <c r="F1942" s="51"/>
    </row>
    <row r="1943" spans="1:6" s="69" customFormat="1" ht="12" customHeight="1" x14ac:dyDescent="0.3">
      <c r="A1943" s="57"/>
      <c r="B1943" s="51"/>
      <c r="C1943" s="51"/>
      <c r="D1943" s="51"/>
      <c r="E1943" s="51"/>
      <c r="F1943" s="51"/>
    </row>
    <row r="1944" spans="1:6" s="69" customFormat="1" ht="12" customHeight="1" x14ac:dyDescent="0.3">
      <c r="A1944" s="57"/>
      <c r="B1944" s="51"/>
      <c r="C1944" s="51"/>
      <c r="D1944" s="51"/>
      <c r="E1944" s="51"/>
      <c r="F1944" s="51"/>
    </row>
    <row r="1945" spans="1:6" s="69" customFormat="1" ht="12" customHeight="1" x14ac:dyDescent="0.3">
      <c r="A1945" s="57"/>
      <c r="B1945" s="51"/>
      <c r="C1945" s="51"/>
      <c r="D1945" s="51"/>
      <c r="E1945" s="51"/>
      <c r="F1945" s="51"/>
    </row>
    <row r="1946" spans="1:6" s="69" customFormat="1" ht="12" customHeight="1" x14ac:dyDescent="0.3">
      <c r="A1946" s="57"/>
      <c r="B1946" s="51"/>
      <c r="C1946" s="51"/>
      <c r="D1946" s="51"/>
      <c r="E1946" s="51"/>
      <c r="F1946" s="51"/>
    </row>
    <row r="1947" spans="1:6" s="69" customFormat="1" ht="12" customHeight="1" x14ac:dyDescent="0.3">
      <c r="A1947" s="57"/>
      <c r="B1947" s="51"/>
      <c r="C1947" s="51"/>
      <c r="D1947" s="51"/>
      <c r="E1947" s="51"/>
      <c r="F1947" s="51"/>
    </row>
    <row r="1948" spans="1:6" s="69" customFormat="1" ht="12" customHeight="1" x14ac:dyDescent="0.3">
      <c r="A1948" s="57"/>
      <c r="B1948" s="51"/>
      <c r="C1948" s="51"/>
      <c r="D1948" s="51"/>
      <c r="E1948" s="51"/>
      <c r="F1948" s="51"/>
    </row>
    <row r="1949" spans="1:6" s="69" customFormat="1" ht="12" customHeight="1" x14ac:dyDescent="0.3">
      <c r="A1949" s="57"/>
      <c r="B1949" s="51"/>
      <c r="C1949" s="51"/>
      <c r="D1949" s="51"/>
      <c r="E1949" s="51"/>
      <c r="F1949" s="51"/>
    </row>
    <row r="1950" spans="1:6" s="69" customFormat="1" ht="12" customHeight="1" x14ac:dyDescent="0.3">
      <c r="A1950" s="57"/>
      <c r="B1950" s="51"/>
      <c r="C1950" s="51"/>
      <c r="D1950" s="51"/>
      <c r="E1950" s="51"/>
      <c r="F1950" s="51"/>
    </row>
    <row r="1951" spans="1:6" s="69" customFormat="1" ht="12" customHeight="1" x14ac:dyDescent="0.3">
      <c r="A1951" s="57"/>
      <c r="B1951" s="51"/>
      <c r="C1951" s="51"/>
      <c r="D1951" s="51"/>
      <c r="E1951" s="51"/>
      <c r="F1951" s="51"/>
    </row>
    <row r="1952" spans="1:6" s="69" customFormat="1" ht="12" customHeight="1" x14ac:dyDescent="0.3">
      <c r="A1952" s="57"/>
      <c r="B1952" s="51"/>
      <c r="C1952" s="51"/>
      <c r="D1952" s="51"/>
      <c r="E1952" s="51"/>
      <c r="F1952" s="51"/>
    </row>
    <row r="1953" spans="1:6" s="69" customFormat="1" ht="12" customHeight="1" x14ac:dyDescent="0.3">
      <c r="A1953" s="57"/>
      <c r="B1953" s="51"/>
      <c r="C1953" s="51"/>
      <c r="D1953" s="51"/>
      <c r="E1953" s="51"/>
      <c r="F1953" s="51"/>
    </row>
    <row r="1954" spans="1:6" s="69" customFormat="1" ht="12" customHeight="1" x14ac:dyDescent="0.3">
      <c r="A1954" s="57"/>
      <c r="B1954" s="51"/>
      <c r="C1954" s="51"/>
      <c r="D1954" s="51"/>
      <c r="E1954" s="51"/>
      <c r="F1954" s="51"/>
    </row>
    <row r="1955" spans="1:6" s="69" customFormat="1" ht="12" customHeight="1" x14ac:dyDescent="0.3">
      <c r="A1955" s="57"/>
      <c r="B1955" s="51"/>
      <c r="C1955" s="51"/>
      <c r="D1955" s="51"/>
      <c r="E1955" s="51"/>
      <c r="F1955" s="51"/>
    </row>
    <row r="1956" spans="1:6" s="69" customFormat="1" ht="12" customHeight="1" x14ac:dyDescent="0.3">
      <c r="A1956" s="57"/>
      <c r="B1956" s="51"/>
      <c r="C1956" s="51"/>
      <c r="D1956" s="51"/>
      <c r="E1956" s="51"/>
      <c r="F1956" s="51"/>
    </row>
    <row r="1957" spans="1:6" s="69" customFormat="1" ht="12" customHeight="1" x14ac:dyDescent="0.3">
      <c r="A1957" s="57"/>
      <c r="B1957" s="51"/>
      <c r="C1957" s="51"/>
      <c r="D1957" s="51"/>
      <c r="E1957" s="51"/>
      <c r="F1957" s="51"/>
    </row>
    <row r="1958" spans="1:6" s="69" customFormat="1" ht="12" customHeight="1" x14ac:dyDescent="0.3">
      <c r="A1958" s="57"/>
      <c r="B1958" s="51"/>
      <c r="C1958" s="51"/>
      <c r="D1958" s="51"/>
      <c r="E1958" s="51"/>
      <c r="F1958" s="51"/>
    </row>
    <row r="1959" spans="1:6" s="69" customFormat="1" ht="12" customHeight="1" x14ac:dyDescent="0.3">
      <c r="A1959" s="57"/>
      <c r="B1959" s="51"/>
      <c r="C1959" s="51"/>
      <c r="D1959" s="51"/>
      <c r="E1959" s="51"/>
      <c r="F1959" s="51"/>
    </row>
    <row r="1960" spans="1:6" s="69" customFormat="1" ht="12" customHeight="1" x14ac:dyDescent="0.3">
      <c r="A1960" s="57"/>
      <c r="B1960" s="51"/>
      <c r="C1960" s="51"/>
      <c r="D1960" s="51"/>
      <c r="E1960" s="51"/>
      <c r="F1960" s="51"/>
    </row>
    <row r="1961" spans="1:6" s="69" customFormat="1" ht="12" customHeight="1" x14ac:dyDescent="0.3">
      <c r="A1961" s="57"/>
      <c r="B1961" s="51"/>
      <c r="C1961" s="51"/>
      <c r="D1961" s="51"/>
      <c r="E1961" s="51"/>
      <c r="F1961" s="51"/>
    </row>
    <row r="1962" spans="1:6" s="69" customFormat="1" ht="12" customHeight="1" x14ac:dyDescent="0.3">
      <c r="A1962" s="57"/>
      <c r="B1962" s="51"/>
      <c r="C1962" s="51"/>
      <c r="D1962" s="51"/>
      <c r="E1962" s="51"/>
      <c r="F1962" s="51"/>
    </row>
    <row r="1963" spans="1:6" s="69" customFormat="1" ht="12" customHeight="1" x14ac:dyDescent="0.3">
      <c r="A1963" s="57"/>
      <c r="B1963" s="51"/>
      <c r="C1963" s="51"/>
      <c r="D1963" s="51"/>
      <c r="E1963" s="51"/>
      <c r="F1963" s="51"/>
    </row>
    <row r="1964" spans="1:6" s="69" customFormat="1" ht="12" customHeight="1" x14ac:dyDescent="0.3">
      <c r="A1964" s="57"/>
      <c r="B1964" s="51"/>
      <c r="C1964" s="51"/>
      <c r="D1964" s="51"/>
      <c r="E1964" s="51"/>
      <c r="F1964" s="51"/>
    </row>
    <row r="1965" spans="1:6" s="69" customFormat="1" ht="12" customHeight="1" x14ac:dyDescent="0.3">
      <c r="A1965" s="57"/>
      <c r="B1965" s="51"/>
      <c r="C1965" s="51"/>
      <c r="D1965" s="51"/>
      <c r="E1965" s="51"/>
      <c r="F1965" s="51"/>
    </row>
    <row r="1966" spans="1:6" s="69" customFormat="1" ht="12" customHeight="1" x14ac:dyDescent="0.3">
      <c r="A1966" s="57"/>
      <c r="B1966" s="51"/>
      <c r="C1966" s="51"/>
      <c r="D1966" s="51"/>
      <c r="E1966" s="51"/>
      <c r="F1966" s="51"/>
    </row>
    <row r="1967" spans="1:6" s="69" customFormat="1" ht="12" customHeight="1" x14ac:dyDescent="0.3">
      <c r="A1967" s="57"/>
      <c r="B1967" s="51"/>
      <c r="C1967" s="51"/>
      <c r="D1967" s="51"/>
      <c r="E1967" s="51"/>
      <c r="F1967" s="51"/>
    </row>
    <row r="1968" spans="1:6" s="69" customFormat="1" ht="12" customHeight="1" x14ac:dyDescent="0.3">
      <c r="A1968" s="57"/>
      <c r="B1968" s="51"/>
      <c r="C1968" s="51"/>
      <c r="D1968" s="51"/>
      <c r="E1968" s="51"/>
      <c r="F1968" s="51"/>
    </row>
    <row r="1969" spans="1:6" s="69" customFormat="1" ht="12" customHeight="1" x14ac:dyDescent="0.3">
      <c r="A1969" s="57"/>
      <c r="B1969" s="51"/>
      <c r="C1969" s="51"/>
      <c r="D1969" s="51"/>
      <c r="E1969" s="51"/>
      <c r="F1969" s="51"/>
    </row>
    <row r="1970" spans="1:6" s="69" customFormat="1" ht="12" customHeight="1" x14ac:dyDescent="0.3">
      <c r="A1970" s="57"/>
      <c r="B1970" s="51"/>
      <c r="C1970" s="51"/>
      <c r="D1970" s="51"/>
      <c r="E1970" s="51"/>
      <c r="F1970" s="51"/>
    </row>
    <row r="1971" spans="1:6" s="69" customFormat="1" ht="12" customHeight="1" x14ac:dyDescent="0.3">
      <c r="A1971" s="57"/>
      <c r="B1971" s="51"/>
      <c r="C1971" s="51"/>
      <c r="D1971" s="51"/>
      <c r="E1971" s="51"/>
      <c r="F1971" s="51"/>
    </row>
    <row r="1972" spans="1:6" s="69" customFormat="1" ht="12" customHeight="1" x14ac:dyDescent="0.3">
      <c r="A1972" s="57"/>
      <c r="B1972" s="51"/>
      <c r="C1972" s="51"/>
      <c r="D1972" s="51"/>
      <c r="E1972" s="51"/>
      <c r="F1972" s="51"/>
    </row>
    <row r="1973" spans="1:6" s="69" customFormat="1" ht="12" customHeight="1" x14ac:dyDescent="0.3">
      <c r="A1973" s="57"/>
      <c r="B1973" s="51"/>
      <c r="C1973" s="51"/>
      <c r="D1973" s="51"/>
      <c r="E1973" s="51"/>
      <c r="F1973" s="51"/>
    </row>
    <row r="1974" spans="1:6" s="69" customFormat="1" ht="12" customHeight="1" x14ac:dyDescent="0.3">
      <c r="A1974" s="57"/>
      <c r="B1974" s="51"/>
      <c r="C1974" s="51"/>
      <c r="D1974" s="51"/>
      <c r="E1974" s="51"/>
      <c r="F1974" s="51"/>
    </row>
    <row r="1975" spans="1:6" s="69" customFormat="1" ht="12" customHeight="1" x14ac:dyDescent="0.3">
      <c r="A1975" s="57"/>
      <c r="B1975" s="51"/>
      <c r="C1975" s="51"/>
      <c r="D1975" s="51"/>
      <c r="E1975" s="51"/>
      <c r="F1975" s="51"/>
    </row>
    <row r="1976" spans="1:6" s="69" customFormat="1" ht="12" customHeight="1" x14ac:dyDescent="0.3">
      <c r="A1976" s="57"/>
      <c r="B1976" s="51"/>
      <c r="C1976" s="51"/>
      <c r="D1976" s="51"/>
      <c r="E1976" s="51"/>
      <c r="F1976" s="51"/>
    </row>
    <row r="1977" spans="1:6" s="69" customFormat="1" ht="12" customHeight="1" x14ac:dyDescent="0.3">
      <c r="A1977" s="57"/>
      <c r="B1977" s="51"/>
      <c r="C1977" s="51"/>
      <c r="D1977" s="51"/>
      <c r="E1977" s="51"/>
      <c r="F1977" s="51"/>
    </row>
    <row r="1978" spans="1:6" s="69" customFormat="1" ht="12" customHeight="1" x14ac:dyDescent="0.3">
      <c r="A1978" s="57"/>
      <c r="B1978" s="51"/>
      <c r="C1978" s="51"/>
      <c r="D1978" s="51"/>
      <c r="E1978" s="51"/>
      <c r="F1978" s="51"/>
    </row>
    <row r="1979" spans="1:6" s="69" customFormat="1" ht="12" customHeight="1" x14ac:dyDescent="0.3">
      <c r="A1979" s="57"/>
      <c r="B1979" s="51"/>
      <c r="C1979" s="51"/>
      <c r="D1979" s="51"/>
      <c r="E1979" s="51"/>
      <c r="F1979" s="51"/>
    </row>
    <row r="1980" spans="1:6" s="69" customFormat="1" ht="12" customHeight="1" x14ac:dyDescent="0.3">
      <c r="A1980" s="57"/>
      <c r="B1980" s="51"/>
      <c r="C1980" s="51"/>
      <c r="D1980" s="51"/>
      <c r="E1980" s="51"/>
      <c r="F1980" s="51"/>
    </row>
    <row r="1981" spans="1:6" s="69" customFormat="1" ht="12" customHeight="1" x14ac:dyDescent="0.3">
      <c r="A1981" s="57"/>
      <c r="B1981" s="51"/>
      <c r="C1981" s="51"/>
      <c r="D1981" s="51"/>
      <c r="E1981" s="51"/>
      <c r="F1981" s="51"/>
    </row>
    <row r="1982" spans="1:6" s="69" customFormat="1" ht="12" customHeight="1" x14ac:dyDescent="0.3">
      <c r="A1982" s="57"/>
      <c r="B1982" s="51"/>
      <c r="C1982" s="51"/>
      <c r="D1982" s="51"/>
      <c r="E1982" s="51"/>
      <c r="F1982" s="51"/>
    </row>
    <row r="1983" spans="1:6" s="69" customFormat="1" ht="12" customHeight="1" x14ac:dyDescent="0.3">
      <c r="A1983" s="57"/>
      <c r="B1983" s="51"/>
      <c r="C1983" s="51"/>
      <c r="D1983" s="51"/>
      <c r="E1983" s="51"/>
      <c r="F1983" s="51"/>
    </row>
    <row r="1984" spans="1:6" s="69" customFormat="1" ht="12" customHeight="1" x14ac:dyDescent="0.3">
      <c r="A1984" s="57"/>
      <c r="B1984" s="51"/>
      <c r="C1984" s="51"/>
      <c r="D1984" s="51"/>
      <c r="E1984" s="51"/>
      <c r="F1984" s="51"/>
    </row>
    <row r="1985" spans="1:6" s="69" customFormat="1" ht="12" customHeight="1" x14ac:dyDescent="0.3">
      <c r="A1985" s="57"/>
      <c r="B1985" s="51"/>
      <c r="C1985" s="51"/>
      <c r="D1985" s="51"/>
      <c r="E1985" s="51"/>
      <c r="F1985" s="51"/>
    </row>
    <row r="1986" spans="1:6" s="69" customFormat="1" ht="12" customHeight="1" x14ac:dyDescent="0.3">
      <c r="A1986" s="57"/>
      <c r="B1986" s="51"/>
      <c r="C1986" s="51"/>
      <c r="D1986" s="51"/>
      <c r="E1986" s="51"/>
      <c r="F1986" s="51"/>
    </row>
    <row r="1987" spans="1:6" s="69" customFormat="1" ht="12" customHeight="1" x14ac:dyDescent="0.3">
      <c r="A1987" s="57"/>
      <c r="B1987" s="51"/>
      <c r="C1987" s="51"/>
      <c r="D1987" s="51"/>
      <c r="E1987" s="51"/>
      <c r="F1987" s="51"/>
    </row>
    <row r="1988" spans="1:6" s="69" customFormat="1" ht="12" customHeight="1" x14ac:dyDescent="0.3">
      <c r="A1988" s="57"/>
      <c r="B1988" s="51"/>
      <c r="C1988" s="51"/>
      <c r="D1988" s="51"/>
      <c r="E1988" s="51"/>
      <c r="F1988" s="51"/>
    </row>
    <row r="1989" spans="1:6" s="69" customFormat="1" ht="12" customHeight="1" x14ac:dyDescent="0.3">
      <c r="A1989" s="57"/>
      <c r="B1989" s="51"/>
      <c r="C1989" s="51"/>
      <c r="D1989" s="51"/>
      <c r="E1989" s="51"/>
      <c r="F1989" s="51"/>
    </row>
    <row r="1990" spans="1:6" s="69" customFormat="1" ht="12" customHeight="1" x14ac:dyDescent="0.3">
      <c r="A1990" s="57"/>
      <c r="B1990" s="51"/>
      <c r="C1990" s="51"/>
      <c r="D1990" s="51"/>
      <c r="E1990" s="51"/>
      <c r="F1990" s="51"/>
    </row>
    <row r="1991" spans="1:6" s="69" customFormat="1" ht="12" customHeight="1" x14ac:dyDescent="0.3">
      <c r="A1991" s="57"/>
      <c r="B1991" s="51"/>
      <c r="C1991" s="51"/>
      <c r="D1991" s="51"/>
      <c r="E1991" s="51"/>
      <c r="F1991" s="51"/>
    </row>
    <row r="1992" spans="1:6" s="69" customFormat="1" ht="12" customHeight="1" x14ac:dyDescent="0.3">
      <c r="A1992" s="57"/>
      <c r="B1992" s="51"/>
      <c r="C1992" s="51"/>
      <c r="D1992" s="51"/>
      <c r="E1992" s="51"/>
      <c r="F1992" s="51"/>
    </row>
    <row r="1993" spans="1:6" s="69" customFormat="1" ht="12" customHeight="1" x14ac:dyDescent="0.3">
      <c r="A1993" s="57"/>
      <c r="B1993" s="51"/>
      <c r="C1993" s="51"/>
      <c r="D1993" s="51"/>
      <c r="E1993" s="51"/>
      <c r="F1993" s="51"/>
    </row>
    <row r="1994" spans="1:6" s="69" customFormat="1" ht="12" customHeight="1" x14ac:dyDescent="0.3">
      <c r="A1994" s="57"/>
      <c r="B1994" s="51"/>
      <c r="C1994" s="51"/>
      <c r="D1994" s="51"/>
      <c r="E1994" s="51"/>
      <c r="F1994" s="51"/>
    </row>
    <row r="1995" spans="1:6" s="69" customFormat="1" ht="12" customHeight="1" x14ac:dyDescent="0.3">
      <c r="A1995" s="57"/>
      <c r="B1995" s="51"/>
      <c r="C1995" s="51"/>
      <c r="D1995" s="51"/>
      <c r="E1995" s="51"/>
      <c r="F1995" s="51"/>
    </row>
    <row r="1996" spans="1:6" s="69" customFormat="1" ht="12" customHeight="1" x14ac:dyDescent="0.3">
      <c r="A1996" s="57"/>
      <c r="B1996" s="51"/>
      <c r="C1996" s="51"/>
      <c r="D1996" s="51"/>
      <c r="E1996" s="51"/>
      <c r="F1996" s="51"/>
    </row>
    <row r="1997" spans="1:6" s="69" customFormat="1" ht="12" customHeight="1" x14ac:dyDescent="0.3">
      <c r="A1997" s="57"/>
      <c r="B1997" s="51"/>
      <c r="C1997" s="51"/>
      <c r="D1997" s="51"/>
      <c r="E1997" s="51"/>
      <c r="F1997" s="51"/>
    </row>
    <row r="1998" spans="1:6" s="69" customFormat="1" ht="12" customHeight="1" x14ac:dyDescent="0.3">
      <c r="A1998" s="57"/>
      <c r="B1998" s="51"/>
      <c r="C1998" s="51"/>
      <c r="D1998" s="51"/>
      <c r="E1998" s="51"/>
      <c r="F1998" s="51"/>
    </row>
    <row r="1999" spans="1:6" s="69" customFormat="1" ht="12" customHeight="1" x14ac:dyDescent="0.3">
      <c r="A1999" s="57"/>
      <c r="B1999" s="51"/>
      <c r="C1999" s="51"/>
      <c r="D1999" s="51"/>
      <c r="E1999" s="51"/>
      <c r="F1999" s="51"/>
    </row>
    <row r="2000" spans="1:6" s="69" customFormat="1" ht="12" customHeight="1" x14ac:dyDescent="0.3">
      <c r="A2000" s="57"/>
      <c r="B2000" s="51"/>
      <c r="C2000" s="51"/>
      <c r="D2000" s="51"/>
      <c r="E2000" s="51"/>
      <c r="F2000" s="51"/>
    </row>
    <row r="2001" spans="1:6" s="69" customFormat="1" ht="12" customHeight="1" x14ac:dyDescent="0.3">
      <c r="A2001" s="57"/>
      <c r="B2001" s="51"/>
      <c r="C2001" s="51"/>
      <c r="D2001" s="51"/>
      <c r="E2001" s="51"/>
      <c r="F2001" s="51"/>
    </row>
    <row r="2002" spans="1:6" s="69" customFormat="1" ht="12" customHeight="1" x14ac:dyDescent="0.3">
      <c r="A2002" s="57"/>
      <c r="B2002" s="51"/>
      <c r="C2002" s="51"/>
      <c r="D2002" s="51"/>
      <c r="E2002" s="51"/>
      <c r="F2002" s="51"/>
    </row>
    <row r="2003" spans="1:6" s="69" customFormat="1" ht="12" customHeight="1" x14ac:dyDescent="0.3">
      <c r="A2003" s="57"/>
      <c r="B2003" s="51"/>
      <c r="C2003" s="51"/>
      <c r="D2003" s="51"/>
      <c r="E2003" s="51"/>
      <c r="F2003" s="51"/>
    </row>
    <row r="2004" spans="1:6" s="69" customFormat="1" ht="12" customHeight="1" x14ac:dyDescent="0.3">
      <c r="A2004" s="57"/>
      <c r="B2004" s="51"/>
      <c r="C2004" s="51"/>
      <c r="D2004" s="51"/>
      <c r="E2004" s="51"/>
      <c r="F2004" s="51"/>
    </row>
    <row r="2005" spans="1:6" s="69" customFormat="1" ht="12" customHeight="1" x14ac:dyDescent="0.3">
      <c r="A2005" s="57"/>
      <c r="B2005" s="51"/>
      <c r="C2005" s="51"/>
      <c r="D2005" s="51"/>
      <c r="E2005" s="51"/>
      <c r="F2005" s="51"/>
    </row>
    <row r="2006" spans="1:6" s="69" customFormat="1" ht="12" customHeight="1" x14ac:dyDescent="0.3">
      <c r="A2006" s="57"/>
      <c r="B2006" s="51"/>
      <c r="C2006" s="51"/>
      <c r="D2006" s="51"/>
      <c r="E2006" s="51"/>
      <c r="F2006" s="51"/>
    </row>
    <row r="2007" spans="1:6" s="69" customFormat="1" ht="12" customHeight="1" x14ac:dyDescent="0.3">
      <c r="A2007" s="57"/>
      <c r="B2007" s="51"/>
      <c r="C2007" s="51"/>
      <c r="D2007" s="51"/>
      <c r="E2007" s="51"/>
      <c r="F2007" s="51"/>
    </row>
    <row r="2008" spans="1:6" s="69" customFormat="1" ht="12" customHeight="1" x14ac:dyDescent="0.3">
      <c r="A2008" s="57"/>
      <c r="B2008" s="51"/>
      <c r="C2008" s="51"/>
      <c r="D2008" s="51"/>
      <c r="E2008" s="51"/>
      <c r="F2008" s="51"/>
    </row>
    <row r="2009" spans="1:6" s="69" customFormat="1" ht="12" customHeight="1" x14ac:dyDescent="0.3">
      <c r="A2009" s="57"/>
      <c r="B2009" s="51"/>
      <c r="C2009" s="51"/>
      <c r="D2009" s="51"/>
      <c r="E2009" s="51"/>
      <c r="F2009" s="51"/>
    </row>
    <row r="2010" spans="1:6" s="69" customFormat="1" ht="12" customHeight="1" x14ac:dyDescent="0.3">
      <c r="A2010" s="57"/>
      <c r="B2010" s="51"/>
      <c r="C2010" s="51"/>
      <c r="D2010" s="51"/>
      <c r="E2010" s="51"/>
      <c r="F2010" s="51"/>
    </row>
    <row r="2011" spans="1:6" s="69" customFormat="1" ht="12" customHeight="1" x14ac:dyDescent="0.3">
      <c r="A2011" s="57"/>
      <c r="B2011" s="51"/>
      <c r="C2011" s="51"/>
      <c r="D2011" s="51"/>
      <c r="E2011" s="51"/>
      <c r="F2011" s="51"/>
    </row>
    <row r="2012" spans="1:6" s="69" customFormat="1" ht="12" customHeight="1" x14ac:dyDescent="0.3">
      <c r="A2012" s="57"/>
      <c r="B2012" s="51"/>
      <c r="C2012" s="51"/>
      <c r="D2012" s="51"/>
      <c r="E2012" s="51"/>
      <c r="F2012" s="51"/>
    </row>
    <row r="2013" spans="1:6" s="69" customFormat="1" ht="12" customHeight="1" x14ac:dyDescent="0.3">
      <c r="A2013" s="57"/>
      <c r="B2013" s="51"/>
      <c r="C2013" s="51"/>
      <c r="D2013" s="51"/>
      <c r="E2013" s="51"/>
      <c r="F2013" s="51"/>
    </row>
    <row r="2014" spans="1:6" s="69" customFormat="1" ht="12" customHeight="1" x14ac:dyDescent="0.3">
      <c r="A2014" s="57"/>
      <c r="B2014" s="51"/>
      <c r="C2014" s="51"/>
      <c r="D2014" s="51"/>
      <c r="E2014" s="51"/>
      <c r="F2014" s="51"/>
    </row>
    <row r="2015" spans="1:6" s="69" customFormat="1" ht="12" customHeight="1" x14ac:dyDescent="0.3">
      <c r="A2015" s="57"/>
      <c r="B2015" s="51"/>
      <c r="C2015" s="51"/>
      <c r="D2015" s="51"/>
      <c r="E2015" s="51"/>
      <c r="F2015" s="51"/>
    </row>
    <row r="2016" spans="1:6" s="69" customFormat="1" ht="12" customHeight="1" x14ac:dyDescent="0.3">
      <c r="A2016" s="57"/>
      <c r="B2016" s="51"/>
      <c r="C2016" s="51"/>
      <c r="D2016" s="51"/>
      <c r="E2016" s="51"/>
      <c r="F2016" s="51"/>
    </row>
    <row r="2017" spans="1:6" s="69" customFormat="1" ht="12" customHeight="1" x14ac:dyDescent="0.3">
      <c r="A2017" s="57"/>
      <c r="B2017" s="51"/>
      <c r="C2017" s="51"/>
      <c r="D2017" s="51"/>
      <c r="E2017" s="51"/>
      <c r="F2017" s="51"/>
    </row>
    <row r="2018" spans="1:6" s="69" customFormat="1" ht="12" customHeight="1" x14ac:dyDescent="0.3">
      <c r="A2018" s="57"/>
      <c r="B2018" s="51"/>
      <c r="C2018" s="51"/>
      <c r="D2018" s="51"/>
      <c r="E2018" s="51"/>
      <c r="F2018" s="51"/>
    </row>
    <row r="2019" spans="1:6" s="69" customFormat="1" ht="12" customHeight="1" x14ac:dyDescent="0.3">
      <c r="A2019" s="57"/>
      <c r="B2019" s="51"/>
      <c r="C2019" s="51"/>
      <c r="D2019" s="51"/>
      <c r="E2019" s="51"/>
      <c r="F2019" s="51"/>
    </row>
    <row r="2020" spans="1:6" s="69" customFormat="1" ht="12" customHeight="1" x14ac:dyDescent="0.3">
      <c r="A2020" s="57"/>
      <c r="B2020" s="51"/>
      <c r="C2020" s="51"/>
      <c r="D2020" s="51"/>
      <c r="E2020" s="51"/>
      <c r="F2020" s="51"/>
    </row>
    <row r="2021" spans="1:6" s="69" customFormat="1" ht="12" customHeight="1" x14ac:dyDescent="0.3">
      <c r="A2021" s="57"/>
      <c r="B2021" s="51"/>
      <c r="C2021" s="51"/>
      <c r="D2021" s="51"/>
      <c r="E2021" s="51"/>
      <c r="F2021" s="51"/>
    </row>
    <row r="2022" spans="1:6" s="69" customFormat="1" ht="12" customHeight="1" x14ac:dyDescent="0.3">
      <c r="A2022" s="57"/>
      <c r="B2022" s="51"/>
      <c r="C2022" s="51"/>
      <c r="D2022" s="51"/>
      <c r="E2022" s="51"/>
      <c r="F2022" s="51"/>
    </row>
    <row r="2023" spans="1:6" s="69" customFormat="1" ht="12" customHeight="1" x14ac:dyDescent="0.3">
      <c r="A2023" s="57"/>
      <c r="B2023" s="51"/>
      <c r="C2023" s="51"/>
      <c r="D2023" s="51"/>
      <c r="E2023" s="51"/>
      <c r="F2023" s="51"/>
    </row>
    <row r="2024" spans="1:6" s="69" customFormat="1" ht="12" customHeight="1" x14ac:dyDescent="0.3">
      <c r="A2024" s="57"/>
      <c r="B2024" s="51"/>
      <c r="C2024" s="51"/>
      <c r="D2024" s="51"/>
      <c r="E2024" s="51"/>
      <c r="F2024" s="51"/>
    </row>
    <row r="2025" spans="1:6" s="69" customFormat="1" ht="12" customHeight="1" x14ac:dyDescent="0.3">
      <c r="A2025" s="57"/>
      <c r="B2025" s="51"/>
      <c r="C2025" s="51"/>
      <c r="D2025" s="51"/>
      <c r="E2025" s="51"/>
      <c r="F2025" s="51"/>
    </row>
    <row r="2026" spans="1:6" s="69" customFormat="1" ht="12" customHeight="1" x14ac:dyDescent="0.3">
      <c r="A2026" s="57"/>
      <c r="B2026" s="51"/>
      <c r="C2026" s="51"/>
      <c r="D2026" s="51"/>
      <c r="E2026" s="51"/>
      <c r="F2026" s="51"/>
    </row>
    <row r="2027" spans="1:6" s="69" customFormat="1" ht="12" customHeight="1" x14ac:dyDescent="0.3">
      <c r="A2027" s="57"/>
      <c r="B2027" s="51"/>
      <c r="C2027" s="51"/>
      <c r="D2027" s="51"/>
      <c r="E2027" s="51"/>
      <c r="F2027" s="51"/>
    </row>
    <row r="2028" spans="1:6" s="69" customFormat="1" ht="12" customHeight="1" x14ac:dyDescent="0.3">
      <c r="A2028" s="57"/>
      <c r="B2028" s="51"/>
      <c r="C2028" s="51"/>
      <c r="D2028" s="51"/>
      <c r="E2028" s="51"/>
      <c r="F2028" s="51"/>
    </row>
    <row r="2029" spans="1:6" s="69" customFormat="1" ht="12" customHeight="1" x14ac:dyDescent="0.3">
      <c r="A2029" s="57"/>
      <c r="B2029" s="51"/>
      <c r="C2029" s="51"/>
      <c r="D2029" s="51"/>
      <c r="E2029" s="51"/>
      <c r="F2029" s="51"/>
    </row>
    <row r="2030" spans="1:6" s="69" customFormat="1" ht="12" customHeight="1" x14ac:dyDescent="0.3">
      <c r="A2030" s="57"/>
      <c r="B2030" s="51"/>
      <c r="C2030" s="51"/>
      <c r="D2030" s="51"/>
      <c r="E2030" s="51"/>
      <c r="F2030" s="51"/>
    </row>
    <row r="2031" spans="1:6" s="69" customFormat="1" ht="12" customHeight="1" x14ac:dyDescent="0.3">
      <c r="A2031" s="57"/>
      <c r="B2031" s="51"/>
      <c r="C2031" s="51"/>
      <c r="D2031" s="51"/>
      <c r="E2031" s="51"/>
      <c r="F2031" s="51"/>
    </row>
    <row r="2032" spans="1:6" s="69" customFormat="1" ht="12" customHeight="1" x14ac:dyDescent="0.3">
      <c r="A2032" s="57"/>
      <c r="B2032" s="51"/>
      <c r="C2032" s="51"/>
      <c r="D2032" s="51"/>
      <c r="E2032" s="51"/>
      <c r="F2032" s="51"/>
    </row>
    <row r="2033" spans="1:6" s="69" customFormat="1" ht="12" customHeight="1" x14ac:dyDescent="0.3">
      <c r="A2033" s="57"/>
      <c r="B2033" s="51"/>
      <c r="C2033" s="51"/>
      <c r="D2033" s="51"/>
      <c r="E2033" s="51"/>
      <c r="F2033" s="51"/>
    </row>
    <row r="2034" spans="1:6" s="69" customFormat="1" ht="12" customHeight="1" x14ac:dyDescent="0.3">
      <c r="A2034" s="57"/>
      <c r="B2034" s="51"/>
      <c r="C2034" s="51"/>
      <c r="D2034" s="51"/>
      <c r="E2034" s="51"/>
      <c r="F2034" s="51"/>
    </row>
    <row r="2035" spans="1:6" s="69" customFormat="1" ht="12" customHeight="1" x14ac:dyDescent="0.3">
      <c r="A2035" s="57"/>
      <c r="B2035" s="51"/>
      <c r="C2035" s="51"/>
      <c r="D2035" s="51"/>
      <c r="E2035" s="51"/>
      <c r="F2035" s="51"/>
    </row>
    <row r="2036" spans="1:6" s="69" customFormat="1" ht="12" customHeight="1" x14ac:dyDescent="0.3">
      <c r="A2036" s="57"/>
      <c r="B2036" s="51"/>
      <c r="C2036" s="51"/>
      <c r="D2036" s="51"/>
      <c r="E2036" s="51"/>
      <c r="F2036" s="51"/>
    </row>
    <row r="2037" spans="1:6" s="69" customFormat="1" ht="12" customHeight="1" x14ac:dyDescent="0.3">
      <c r="A2037" s="57"/>
      <c r="B2037" s="51"/>
      <c r="C2037" s="51"/>
      <c r="D2037" s="51"/>
      <c r="E2037" s="51"/>
      <c r="F2037" s="51"/>
    </row>
    <row r="2038" spans="1:6" s="69" customFormat="1" ht="12" customHeight="1" x14ac:dyDescent="0.3">
      <c r="A2038" s="57"/>
      <c r="B2038" s="51"/>
      <c r="C2038" s="51"/>
      <c r="D2038" s="51"/>
      <c r="E2038" s="51"/>
      <c r="F2038" s="51"/>
    </row>
    <row r="2039" spans="1:6" s="69" customFormat="1" ht="12" customHeight="1" x14ac:dyDescent="0.3">
      <c r="A2039" s="57"/>
      <c r="B2039" s="51"/>
      <c r="C2039" s="51"/>
      <c r="D2039" s="51"/>
      <c r="E2039" s="51"/>
      <c r="F2039" s="51"/>
    </row>
    <row r="2040" spans="1:6" s="69" customFormat="1" ht="12" customHeight="1" x14ac:dyDescent="0.3">
      <c r="A2040" s="57"/>
      <c r="B2040" s="51"/>
      <c r="C2040" s="51"/>
      <c r="D2040" s="51"/>
      <c r="E2040" s="51"/>
      <c r="F2040" s="51"/>
    </row>
    <row r="2041" spans="1:6" s="69" customFormat="1" ht="12" customHeight="1" x14ac:dyDescent="0.3">
      <c r="A2041" s="57"/>
      <c r="B2041" s="51"/>
      <c r="C2041" s="51"/>
      <c r="D2041" s="51"/>
      <c r="E2041" s="51"/>
      <c r="F2041" s="51"/>
    </row>
    <row r="2042" spans="1:6" s="69" customFormat="1" ht="12" customHeight="1" x14ac:dyDescent="0.3">
      <c r="A2042" s="57"/>
      <c r="B2042" s="51"/>
      <c r="C2042" s="51"/>
      <c r="D2042" s="51"/>
      <c r="E2042" s="51"/>
      <c r="F2042" s="51"/>
    </row>
    <row r="2043" spans="1:6" s="69" customFormat="1" ht="12" customHeight="1" x14ac:dyDescent="0.3">
      <c r="A2043" s="57"/>
      <c r="B2043" s="51"/>
      <c r="C2043" s="51"/>
      <c r="D2043" s="51"/>
      <c r="E2043" s="51"/>
      <c r="F2043" s="51"/>
    </row>
    <row r="2044" spans="1:6" s="69" customFormat="1" ht="12" customHeight="1" x14ac:dyDescent="0.3">
      <c r="A2044" s="57"/>
      <c r="B2044" s="51"/>
      <c r="C2044" s="51"/>
      <c r="D2044" s="51"/>
      <c r="E2044" s="51"/>
      <c r="F2044" s="51"/>
    </row>
    <row r="2045" spans="1:6" s="69" customFormat="1" ht="12" customHeight="1" x14ac:dyDescent="0.3">
      <c r="A2045" s="57"/>
      <c r="B2045" s="51"/>
      <c r="C2045" s="51"/>
      <c r="D2045" s="51"/>
      <c r="E2045" s="51"/>
      <c r="F2045" s="51"/>
    </row>
    <row r="2046" spans="1:6" s="69" customFormat="1" ht="12" customHeight="1" x14ac:dyDescent="0.3">
      <c r="A2046" s="57"/>
      <c r="B2046" s="51"/>
      <c r="C2046" s="51"/>
      <c r="D2046" s="51"/>
      <c r="E2046" s="51"/>
      <c r="F2046" s="51"/>
    </row>
    <row r="2047" spans="1:6" s="69" customFormat="1" ht="12" customHeight="1" x14ac:dyDescent="0.3">
      <c r="A2047" s="57"/>
      <c r="B2047" s="51"/>
      <c r="C2047" s="51"/>
      <c r="D2047" s="51"/>
      <c r="E2047" s="51"/>
      <c r="F2047" s="51"/>
    </row>
    <row r="2048" spans="1:6" s="69" customFormat="1" ht="12" customHeight="1" x14ac:dyDescent="0.3">
      <c r="A2048" s="57"/>
      <c r="B2048" s="51"/>
      <c r="C2048" s="51"/>
      <c r="D2048" s="51"/>
      <c r="E2048" s="51"/>
      <c r="F2048" s="51"/>
    </row>
    <row r="2049" spans="1:6" s="69" customFormat="1" ht="12" customHeight="1" x14ac:dyDescent="0.3">
      <c r="A2049" s="57"/>
      <c r="B2049" s="51"/>
      <c r="C2049" s="51"/>
      <c r="D2049" s="51"/>
      <c r="E2049" s="51"/>
      <c r="F2049" s="51"/>
    </row>
    <row r="2050" spans="1:6" s="69" customFormat="1" ht="12" customHeight="1" x14ac:dyDescent="0.3">
      <c r="A2050" s="57"/>
      <c r="B2050" s="51"/>
      <c r="C2050" s="51"/>
      <c r="D2050" s="51"/>
      <c r="E2050" s="51"/>
      <c r="F2050" s="51"/>
    </row>
    <row r="2051" spans="1:6" s="69" customFormat="1" ht="12" customHeight="1" x14ac:dyDescent="0.3">
      <c r="A2051" s="57"/>
      <c r="B2051" s="51"/>
      <c r="C2051" s="51"/>
      <c r="D2051" s="51"/>
      <c r="E2051" s="51"/>
      <c r="F2051" s="51"/>
    </row>
    <row r="2052" spans="1:6" s="69" customFormat="1" ht="12" customHeight="1" x14ac:dyDescent="0.3">
      <c r="A2052" s="57"/>
      <c r="B2052" s="51"/>
      <c r="C2052" s="51"/>
      <c r="D2052" s="51"/>
      <c r="E2052" s="51"/>
      <c r="F2052" s="51"/>
    </row>
    <row r="2053" spans="1:6" s="69" customFormat="1" ht="12" customHeight="1" x14ac:dyDescent="0.3">
      <c r="A2053" s="57"/>
      <c r="B2053" s="51"/>
      <c r="C2053" s="51"/>
      <c r="D2053" s="51"/>
      <c r="E2053" s="51"/>
      <c r="F2053" s="51"/>
    </row>
    <row r="2054" spans="1:6" s="69" customFormat="1" ht="12" customHeight="1" x14ac:dyDescent="0.3">
      <c r="A2054" s="57"/>
      <c r="B2054" s="51"/>
      <c r="C2054" s="51"/>
      <c r="D2054" s="51"/>
      <c r="E2054" s="51"/>
      <c r="F2054" s="51"/>
    </row>
    <row r="2055" spans="1:6" s="69" customFormat="1" ht="12" customHeight="1" x14ac:dyDescent="0.3">
      <c r="A2055" s="57"/>
      <c r="B2055" s="51"/>
      <c r="C2055" s="51"/>
      <c r="D2055" s="51"/>
      <c r="E2055" s="51"/>
      <c r="F2055" s="51"/>
    </row>
    <row r="2056" spans="1:6" s="69" customFormat="1" ht="12" customHeight="1" x14ac:dyDescent="0.3">
      <c r="A2056" s="57"/>
      <c r="B2056" s="51"/>
      <c r="C2056" s="51"/>
      <c r="D2056" s="51"/>
      <c r="E2056" s="51"/>
      <c r="F2056" s="51"/>
    </row>
    <row r="2057" spans="1:6" s="69" customFormat="1" ht="12" customHeight="1" x14ac:dyDescent="0.3">
      <c r="A2057" s="57"/>
      <c r="B2057" s="51"/>
      <c r="C2057" s="51"/>
      <c r="D2057" s="51"/>
      <c r="E2057" s="51"/>
      <c r="F2057" s="51"/>
    </row>
    <row r="2058" spans="1:6" s="69" customFormat="1" ht="12" customHeight="1" x14ac:dyDescent="0.3">
      <c r="A2058" s="57"/>
      <c r="B2058" s="51"/>
      <c r="C2058" s="51"/>
      <c r="D2058" s="51"/>
      <c r="E2058" s="51"/>
      <c r="F2058" s="51"/>
    </row>
    <row r="2059" spans="1:6" s="69" customFormat="1" ht="12" customHeight="1" x14ac:dyDescent="0.3">
      <c r="A2059" s="57"/>
      <c r="B2059" s="51"/>
      <c r="C2059" s="51"/>
      <c r="D2059" s="51"/>
      <c r="E2059" s="51"/>
      <c r="F2059" s="51"/>
    </row>
    <row r="2060" spans="1:6" s="69" customFormat="1" ht="12" customHeight="1" x14ac:dyDescent="0.3">
      <c r="A2060" s="57"/>
      <c r="B2060" s="51"/>
      <c r="C2060" s="51"/>
      <c r="D2060" s="51"/>
      <c r="E2060" s="51"/>
      <c r="F2060" s="51"/>
    </row>
    <row r="2061" spans="1:6" s="69" customFormat="1" ht="12" customHeight="1" x14ac:dyDescent="0.3">
      <c r="A2061" s="57"/>
      <c r="B2061" s="51"/>
      <c r="C2061" s="51"/>
      <c r="D2061" s="51"/>
      <c r="E2061" s="51"/>
      <c r="F2061" s="51"/>
    </row>
    <row r="2062" spans="1:6" s="69" customFormat="1" ht="12" customHeight="1" x14ac:dyDescent="0.3">
      <c r="A2062" s="57"/>
      <c r="B2062" s="51"/>
      <c r="C2062" s="51"/>
      <c r="D2062" s="51"/>
      <c r="E2062" s="51"/>
      <c r="F2062" s="51"/>
    </row>
    <row r="2063" spans="1:6" s="69" customFormat="1" ht="12" customHeight="1" x14ac:dyDescent="0.3">
      <c r="A2063" s="57"/>
      <c r="B2063" s="51"/>
      <c r="C2063" s="51"/>
      <c r="D2063" s="51"/>
      <c r="E2063" s="51"/>
      <c r="F2063" s="51"/>
    </row>
    <row r="2064" spans="1:6" s="69" customFormat="1" ht="12" customHeight="1" x14ac:dyDescent="0.3">
      <c r="A2064" s="57"/>
      <c r="B2064" s="51"/>
      <c r="C2064" s="51"/>
      <c r="D2064" s="51"/>
      <c r="E2064" s="51"/>
      <c r="F2064" s="51"/>
    </row>
    <row r="2065" spans="1:6" s="69" customFormat="1" ht="12" customHeight="1" x14ac:dyDescent="0.3">
      <c r="A2065" s="57"/>
      <c r="B2065" s="51"/>
      <c r="C2065" s="51"/>
      <c r="D2065" s="51"/>
      <c r="E2065" s="51"/>
      <c r="F2065" s="51"/>
    </row>
    <row r="2066" spans="1:6" s="69" customFormat="1" ht="12" customHeight="1" x14ac:dyDescent="0.3">
      <c r="A2066" s="57"/>
      <c r="B2066" s="51"/>
      <c r="C2066" s="51"/>
      <c r="D2066" s="51"/>
      <c r="E2066" s="51"/>
      <c r="F2066" s="51"/>
    </row>
    <row r="2067" spans="1:6" s="69" customFormat="1" ht="12" customHeight="1" x14ac:dyDescent="0.3">
      <c r="A2067" s="57"/>
      <c r="B2067" s="51"/>
      <c r="C2067" s="51"/>
      <c r="D2067" s="51"/>
      <c r="E2067" s="51"/>
      <c r="F2067" s="51"/>
    </row>
    <row r="2068" spans="1:6" s="69" customFormat="1" ht="12" customHeight="1" x14ac:dyDescent="0.3">
      <c r="A2068" s="57"/>
      <c r="B2068" s="51"/>
      <c r="C2068" s="51"/>
      <c r="D2068" s="51"/>
      <c r="E2068" s="51"/>
      <c r="F2068" s="51"/>
    </row>
    <row r="2069" spans="1:6" s="69" customFormat="1" ht="12" customHeight="1" x14ac:dyDescent="0.3">
      <c r="A2069" s="57"/>
      <c r="B2069" s="51"/>
      <c r="C2069" s="51"/>
      <c r="D2069" s="51"/>
      <c r="E2069" s="51"/>
      <c r="F2069" s="51"/>
    </row>
    <row r="2070" spans="1:6" s="69" customFormat="1" ht="12" customHeight="1" x14ac:dyDescent="0.3">
      <c r="A2070" s="57"/>
      <c r="B2070" s="51"/>
      <c r="C2070" s="51"/>
      <c r="D2070" s="51"/>
      <c r="E2070" s="51"/>
      <c r="F2070" s="51"/>
    </row>
    <row r="2071" spans="1:6" s="69" customFormat="1" ht="12" customHeight="1" x14ac:dyDescent="0.3">
      <c r="A2071" s="57"/>
      <c r="B2071" s="51"/>
      <c r="C2071" s="51"/>
      <c r="D2071" s="51"/>
      <c r="E2071" s="51"/>
      <c r="F2071" s="51"/>
    </row>
    <row r="2072" spans="1:6" s="69" customFormat="1" ht="12" customHeight="1" x14ac:dyDescent="0.3">
      <c r="A2072" s="57"/>
      <c r="B2072" s="51"/>
      <c r="C2072" s="51"/>
      <c r="D2072" s="51"/>
      <c r="E2072" s="51"/>
      <c r="F2072" s="51"/>
    </row>
    <row r="2073" spans="1:6" s="69" customFormat="1" ht="12" customHeight="1" x14ac:dyDescent="0.3">
      <c r="A2073" s="57"/>
      <c r="B2073" s="51"/>
      <c r="C2073" s="51"/>
      <c r="D2073" s="51"/>
      <c r="E2073" s="51"/>
      <c r="F2073" s="51"/>
    </row>
    <row r="2074" spans="1:6" s="69" customFormat="1" ht="12" customHeight="1" x14ac:dyDescent="0.3">
      <c r="A2074" s="57"/>
      <c r="B2074" s="51"/>
      <c r="C2074" s="51"/>
      <c r="D2074" s="51"/>
      <c r="E2074" s="51"/>
      <c r="F2074" s="51"/>
    </row>
    <row r="2075" spans="1:6" s="69" customFormat="1" ht="12" customHeight="1" x14ac:dyDescent="0.3">
      <c r="A2075" s="57"/>
      <c r="B2075" s="51"/>
      <c r="C2075" s="51"/>
      <c r="D2075" s="51"/>
      <c r="E2075" s="51"/>
      <c r="F2075" s="51"/>
    </row>
    <row r="2076" spans="1:6" s="69" customFormat="1" ht="12" customHeight="1" x14ac:dyDescent="0.3">
      <c r="A2076" s="57"/>
      <c r="B2076" s="51"/>
      <c r="C2076" s="51"/>
      <c r="D2076" s="51"/>
      <c r="E2076" s="51"/>
      <c r="F2076" s="51"/>
    </row>
    <row r="2077" spans="1:6" s="69" customFormat="1" ht="12" customHeight="1" x14ac:dyDescent="0.3">
      <c r="A2077" s="57"/>
      <c r="B2077" s="51"/>
      <c r="C2077" s="51"/>
      <c r="D2077" s="51"/>
      <c r="E2077" s="51"/>
      <c r="F2077" s="51"/>
    </row>
    <row r="2078" spans="1:6" s="69" customFormat="1" ht="12" customHeight="1" x14ac:dyDescent="0.3">
      <c r="A2078" s="57"/>
      <c r="B2078" s="51"/>
      <c r="C2078" s="51"/>
      <c r="D2078" s="51"/>
      <c r="E2078" s="51"/>
      <c r="F2078" s="51"/>
    </row>
    <row r="2079" spans="1:6" s="69" customFormat="1" ht="12" customHeight="1" x14ac:dyDescent="0.3">
      <c r="A2079" s="57"/>
      <c r="B2079" s="51"/>
      <c r="C2079" s="51"/>
      <c r="D2079" s="51"/>
      <c r="E2079" s="51"/>
      <c r="F2079" s="51"/>
    </row>
    <row r="2080" spans="1:6" s="69" customFormat="1" ht="12" customHeight="1" x14ac:dyDescent="0.3">
      <c r="A2080" s="57"/>
      <c r="B2080" s="51"/>
      <c r="C2080" s="51"/>
      <c r="D2080" s="51"/>
      <c r="E2080" s="51"/>
      <c r="F2080" s="51"/>
    </row>
    <row r="2081" spans="1:6" s="69" customFormat="1" ht="12" customHeight="1" x14ac:dyDescent="0.3">
      <c r="A2081" s="57"/>
      <c r="B2081" s="51"/>
      <c r="C2081" s="51"/>
      <c r="D2081" s="51"/>
      <c r="E2081" s="51"/>
      <c r="F2081" s="51"/>
    </row>
    <row r="2082" spans="1:6" s="69" customFormat="1" ht="12" customHeight="1" x14ac:dyDescent="0.3">
      <c r="A2082" s="57"/>
      <c r="B2082" s="51"/>
      <c r="C2082" s="51"/>
      <c r="D2082" s="51"/>
      <c r="E2082" s="51"/>
      <c r="F2082" s="51"/>
    </row>
    <row r="2083" spans="1:6" s="69" customFormat="1" ht="12" customHeight="1" x14ac:dyDescent="0.3">
      <c r="A2083" s="57"/>
      <c r="B2083" s="51"/>
      <c r="C2083" s="51"/>
      <c r="D2083" s="51"/>
      <c r="E2083" s="51"/>
      <c r="F2083" s="51"/>
    </row>
    <row r="2084" spans="1:6" s="69" customFormat="1" ht="12" customHeight="1" x14ac:dyDescent="0.3">
      <c r="A2084" s="57"/>
      <c r="B2084" s="51"/>
      <c r="C2084" s="51"/>
      <c r="D2084" s="51"/>
      <c r="E2084" s="51"/>
      <c r="F2084" s="51"/>
    </row>
    <row r="2085" spans="1:6" s="69" customFormat="1" ht="12" customHeight="1" x14ac:dyDescent="0.3">
      <c r="A2085" s="57"/>
      <c r="B2085" s="51"/>
      <c r="C2085" s="51"/>
      <c r="D2085" s="51"/>
      <c r="E2085" s="51"/>
      <c r="F2085" s="51"/>
    </row>
    <row r="2086" spans="1:6" s="69" customFormat="1" ht="12" customHeight="1" x14ac:dyDescent="0.3">
      <c r="A2086" s="57"/>
      <c r="B2086" s="51"/>
      <c r="C2086" s="51"/>
      <c r="D2086" s="51"/>
      <c r="E2086" s="51"/>
      <c r="F2086" s="51"/>
    </row>
    <row r="2087" spans="1:6" s="69" customFormat="1" ht="12" customHeight="1" x14ac:dyDescent="0.3">
      <c r="A2087" s="57"/>
      <c r="B2087" s="51"/>
      <c r="C2087" s="51"/>
      <c r="D2087" s="51"/>
      <c r="E2087" s="51"/>
      <c r="F2087" s="51"/>
    </row>
    <row r="2088" spans="1:6" s="69" customFormat="1" ht="12" customHeight="1" x14ac:dyDescent="0.3">
      <c r="A2088" s="57"/>
      <c r="B2088" s="51"/>
      <c r="C2088" s="51"/>
      <c r="D2088" s="51"/>
      <c r="E2088" s="51"/>
      <c r="F2088" s="51"/>
    </row>
    <row r="2089" spans="1:6" s="69" customFormat="1" ht="12" customHeight="1" x14ac:dyDescent="0.3">
      <c r="A2089" s="57"/>
      <c r="B2089" s="51"/>
      <c r="C2089" s="51"/>
      <c r="D2089" s="51"/>
      <c r="E2089" s="51"/>
      <c r="F2089" s="51"/>
    </row>
    <row r="2090" spans="1:6" s="69" customFormat="1" ht="12" customHeight="1" x14ac:dyDescent="0.3">
      <c r="A2090" s="57"/>
      <c r="B2090" s="51"/>
      <c r="C2090" s="51"/>
      <c r="D2090" s="51"/>
      <c r="E2090" s="51"/>
      <c r="F2090" s="51"/>
    </row>
    <row r="2091" spans="1:6" s="69" customFormat="1" ht="12" customHeight="1" x14ac:dyDescent="0.3">
      <c r="A2091" s="57"/>
      <c r="B2091" s="51"/>
      <c r="C2091" s="51"/>
      <c r="D2091" s="51"/>
      <c r="E2091" s="51"/>
      <c r="F2091" s="51"/>
    </row>
    <row r="2092" spans="1:6" s="69" customFormat="1" ht="12" customHeight="1" x14ac:dyDescent="0.3">
      <c r="A2092" s="57"/>
      <c r="B2092" s="51"/>
      <c r="C2092" s="51"/>
      <c r="D2092" s="51"/>
      <c r="E2092" s="51"/>
      <c r="F2092" s="51"/>
    </row>
    <row r="2093" spans="1:6" s="69" customFormat="1" ht="12" customHeight="1" x14ac:dyDescent="0.3">
      <c r="A2093" s="57"/>
      <c r="B2093" s="51"/>
      <c r="C2093" s="51"/>
      <c r="D2093" s="51"/>
      <c r="E2093" s="51"/>
      <c r="F2093" s="51"/>
    </row>
    <row r="2094" spans="1:6" s="69" customFormat="1" ht="12" customHeight="1" x14ac:dyDescent="0.3">
      <c r="A2094" s="57"/>
      <c r="B2094" s="51"/>
      <c r="C2094" s="51"/>
      <c r="D2094" s="51"/>
      <c r="E2094" s="51"/>
      <c r="F2094" s="51"/>
    </row>
    <row r="2095" spans="1:6" s="69" customFormat="1" ht="12" customHeight="1" x14ac:dyDescent="0.3">
      <c r="A2095" s="57"/>
      <c r="B2095" s="51"/>
      <c r="C2095" s="51"/>
      <c r="D2095" s="51"/>
      <c r="E2095" s="51"/>
      <c r="F2095" s="51"/>
    </row>
    <row r="2096" spans="1:6" s="69" customFormat="1" ht="12" customHeight="1" x14ac:dyDescent="0.3">
      <c r="A2096" s="57"/>
      <c r="B2096" s="51"/>
      <c r="C2096" s="51"/>
      <c r="D2096" s="51"/>
      <c r="E2096" s="51"/>
      <c r="F2096" s="51"/>
    </row>
    <row r="2097" spans="1:6" s="69" customFormat="1" ht="12" customHeight="1" x14ac:dyDescent="0.3">
      <c r="A2097" s="57"/>
      <c r="B2097" s="51"/>
      <c r="C2097" s="51"/>
      <c r="D2097" s="51"/>
      <c r="E2097" s="51"/>
      <c r="F2097" s="51"/>
    </row>
    <row r="2098" spans="1:6" s="69" customFormat="1" ht="12" customHeight="1" x14ac:dyDescent="0.3">
      <c r="A2098" s="57"/>
      <c r="B2098" s="51"/>
      <c r="C2098" s="51"/>
      <c r="D2098" s="51"/>
      <c r="E2098" s="51"/>
      <c r="F2098" s="51"/>
    </row>
    <row r="2099" spans="1:6" s="69" customFormat="1" ht="12" customHeight="1" x14ac:dyDescent="0.3">
      <c r="A2099" s="57"/>
      <c r="B2099" s="51"/>
      <c r="C2099" s="51"/>
      <c r="D2099" s="51"/>
      <c r="E2099" s="51"/>
      <c r="F2099" s="51"/>
    </row>
    <row r="2100" spans="1:6" s="69" customFormat="1" ht="12" customHeight="1" x14ac:dyDescent="0.3">
      <c r="A2100" s="57"/>
      <c r="B2100" s="51"/>
      <c r="C2100" s="51"/>
      <c r="D2100" s="51"/>
      <c r="E2100" s="51"/>
      <c r="F2100" s="51"/>
    </row>
    <row r="2101" spans="1:6" s="69" customFormat="1" ht="12" customHeight="1" x14ac:dyDescent="0.3">
      <c r="A2101" s="57"/>
      <c r="B2101" s="51"/>
      <c r="C2101" s="51"/>
      <c r="D2101" s="51"/>
      <c r="E2101" s="51"/>
      <c r="F2101" s="51"/>
    </row>
    <row r="2102" spans="1:6" s="69" customFormat="1" ht="12" customHeight="1" x14ac:dyDescent="0.3">
      <c r="A2102" s="57"/>
      <c r="B2102" s="51"/>
      <c r="C2102" s="51"/>
      <c r="D2102" s="51"/>
      <c r="E2102" s="51"/>
      <c r="F2102" s="51"/>
    </row>
    <row r="2103" spans="1:6" s="69" customFormat="1" ht="12" customHeight="1" x14ac:dyDescent="0.3">
      <c r="A2103" s="57"/>
      <c r="B2103" s="51"/>
      <c r="C2103" s="51"/>
      <c r="D2103" s="51"/>
      <c r="E2103" s="51"/>
      <c r="F2103" s="51"/>
    </row>
    <row r="2104" spans="1:6" s="69" customFormat="1" ht="12" customHeight="1" x14ac:dyDescent="0.3">
      <c r="A2104" s="57"/>
      <c r="B2104" s="51"/>
      <c r="C2104" s="51"/>
      <c r="D2104" s="51"/>
      <c r="E2104" s="51"/>
      <c r="F2104" s="51"/>
    </row>
    <row r="2105" spans="1:6" s="69" customFormat="1" ht="12" customHeight="1" x14ac:dyDescent="0.3">
      <c r="A2105" s="57"/>
      <c r="B2105" s="51"/>
      <c r="C2105" s="51"/>
      <c r="D2105" s="51"/>
      <c r="E2105" s="51"/>
      <c r="F2105" s="51"/>
    </row>
    <row r="2106" spans="1:6" s="69" customFormat="1" ht="12" customHeight="1" x14ac:dyDescent="0.3">
      <c r="A2106" s="57"/>
      <c r="B2106" s="51"/>
      <c r="C2106" s="51"/>
      <c r="D2106" s="51"/>
      <c r="E2106" s="51"/>
      <c r="F2106" s="51"/>
    </row>
    <row r="2107" spans="1:6" s="69" customFormat="1" ht="12" customHeight="1" x14ac:dyDescent="0.3">
      <c r="A2107" s="57"/>
      <c r="B2107" s="51"/>
      <c r="C2107" s="51"/>
      <c r="D2107" s="51"/>
      <c r="E2107" s="51"/>
      <c r="F2107" s="51"/>
    </row>
    <row r="2108" spans="1:6" s="69" customFormat="1" ht="12" customHeight="1" x14ac:dyDescent="0.3">
      <c r="A2108" s="57"/>
      <c r="B2108" s="51"/>
      <c r="C2108" s="51"/>
      <c r="D2108" s="51"/>
      <c r="E2108" s="51"/>
      <c r="F2108" s="51"/>
    </row>
    <row r="2109" spans="1:6" s="69" customFormat="1" ht="12" customHeight="1" x14ac:dyDescent="0.3">
      <c r="A2109" s="57"/>
      <c r="B2109" s="51"/>
      <c r="C2109" s="51"/>
      <c r="D2109" s="51"/>
      <c r="E2109" s="51"/>
      <c r="F2109" s="51"/>
    </row>
    <row r="2110" spans="1:6" s="69" customFormat="1" ht="12" customHeight="1" x14ac:dyDescent="0.3">
      <c r="A2110" s="57"/>
      <c r="B2110" s="51"/>
      <c r="C2110" s="51"/>
      <c r="D2110" s="51"/>
      <c r="E2110" s="51"/>
      <c r="F2110" s="51"/>
    </row>
    <row r="2111" spans="1:6" s="69" customFormat="1" ht="12" customHeight="1" x14ac:dyDescent="0.3">
      <c r="A2111" s="57"/>
      <c r="B2111" s="51"/>
      <c r="C2111" s="51"/>
      <c r="D2111" s="51"/>
      <c r="E2111" s="51"/>
      <c r="F2111" s="51"/>
    </row>
    <row r="2112" spans="1:6" s="69" customFormat="1" ht="12" customHeight="1" x14ac:dyDescent="0.3">
      <c r="A2112" s="57"/>
      <c r="B2112" s="51"/>
      <c r="C2112" s="51"/>
      <c r="D2112" s="51"/>
      <c r="E2112" s="51"/>
      <c r="F2112" s="51"/>
    </row>
    <row r="2113" spans="1:6" s="69" customFormat="1" ht="12" customHeight="1" x14ac:dyDescent="0.3">
      <c r="A2113" s="57"/>
      <c r="B2113" s="51"/>
      <c r="C2113" s="51"/>
      <c r="D2113" s="51"/>
      <c r="E2113" s="51"/>
      <c r="F2113" s="51"/>
    </row>
    <row r="2114" spans="1:6" s="69" customFormat="1" ht="12" customHeight="1" x14ac:dyDescent="0.3">
      <c r="A2114" s="57"/>
      <c r="B2114" s="51"/>
      <c r="C2114" s="51"/>
      <c r="D2114" s="51"/>
      <c r="E2114" s="51"/>
      <c r="F2114" s="51"/>
    </row>
    <row r="2115" spans="1:6" s="69" customFormat="1" ht="12" customHeight="1" x14ac:dyDescent="0.3">
      <c r="A2115" s="57"/>
      <c r="B2115" s="51"/>
      <c r="C2115" s="51"/>
      <c r="D2115" s="51"/>
      <c r="E2115" s="51"/>
      <c r="F2115" s="51"/>
    </row>
    <row r="2116" spans="1:6" s="69" customFormat="1" ht="12" customHeight="1" x14ac:dyDescent="0.3">
      <c r="A2116" s="57"/>
      <c r="B2116" s="51"/>
      <c r="C2116" s="51"/>
      <c r="D2116" s="51"/>
      <c r="E2116" s="51"/>
      <c r="F2116" s="51"/>
    </row>
    <row r="2117" spans="1:6" s="69" customFormat="1" ht="12" customHeight="1" x14ac:dyDescent="0.3">
      <c r="A2117" s="57"/>
      <c r="B2117" s="51"/>
      <c r="C2117" s="51"/>
      <c r="D2117" s="51"/>
      <c r="E2117" s="51"/>
      <c r="F2117" s="51"/>
    </row>
    <row r="2118" spans="1:6" s="69" customFormat="1" ht="12" customHeight="1" x14ac:dyDescent="0.3">
      <c r="A2118" s="57"/>
      <c r="B2118" s="51"/>
      <c r="C2118" s="51"/>
      <c r="D2118" s="51"/>
      <c r="E2118" s="51"/>
      <c r="F2118" s="51"/>
    </row>
    <row r="2119" spans="1:6" s="69" customFormat="1" ht="12" customHeight="1" x14ac:dyDescent="0.3">
      <c r="A2119" s="57"/>
      <c r="B2119" s="51"/>
      <c r="C2119" s="51"/>
      <c r="D2119" s="51"/>
      <c r="E2119" s="51"/>
      <c r="F2119" s="51"/>
    </row>
    <row r="2120" spans="1:6" s="69" customFormat="1" ht="12" customHeight="1" x14ac:dyDescent="0.3">
      <c r="A2120" s="57"/>
      <c r="B2120" s="51"/>
      <c r="C2120" s="51"/>
      <c r="D2120" s="51"/>
      <c r="E2120" s="51"/>
      <c r="F2120" s="51"/>
    </row>
    <row r="2121" spans="1:6" s="69" customFormat="1" ht="12" customHeight="1" x14ac:dyDescent="0.3">
      <c r="A2121" s="57"/>
      <c r="B2121" s="51"/>
      <c r="C2121" s="51"/>
      <c r="D2121" s="51"/>
      <c r="E2121" s="51"/>
      <c r="F2121" s="51"/>
    </row>
    <row r="2122" spans="1:6" s="69" customFormat="1" ht="12" customHeight="1" x14ac:dyDescent="0.3">
      <c r="A2122" s="57"/>
      <c r="B2122" s="51"/>
      <c r="C2122" s="51"/>
      <c r="D2122" s="51"/>
      <c r="E2122" s="51"/>
      <c r="F2122" s="51"/>
    </row>
    <row r="2123" spans="1:6" s="69" customFormat="1" ht="12" customHeight="1" x14ac:dyDescent="0.3">
      <c r="A2123" s="57"/>
      <c r="B2123" s="51"/>
      <c r="C2123" s="51"/>
      <c r="D2123" s="51"/>
      <c r="E2123" s="51"/>
      <c r="F2123" s="51"/>
    </row>
    <row r="2124" spans="1:6" s="69" customFormat="1" ht="12" customHeight="1" x14ac:dyDescent="0.3">
      <c r="A2124" s="57"/>
      <c r="B2124" s="51"/>
      <c r="C2124" s="51"/>
      <c r="D2124" s="51"/>
      <c r="E2124" s="51"/>
      <c r="F2124" s="51"/>
    </row>
    <row r="2125" spans="1:6" s="69" customFormat="1" ht="12" customHeight="1" x14ac:dyDescent="0.3">
      <c r="A2125" s="57"/>
      <c r="B2125" s="51"/>
      <c r="C2125" s="51"/>
      <c r="D2125" s="51"/>
      <c r="E2125" s="51"/>
      <c r="F2125" s="51"/>
    </row>
    <row r="2126" spans="1:6" s="69" customFormat="1" ht="12" customHeight="1" x14ac:dyDescent="0.3">
      <c r="A2126" s="57"/>
      <c r="B2126" s="51"/>
      <c r="C2126" s="51"/>
      <c r="D2126" s="51"/>
      <c r="E2126" s="51"/>
      <c r="F2126" s="51"/>
    </row>
    <row r="2127" spans="1:6" s="69" customFormat="1" ht="12" customHeight="1" x14ac:dyDescent="0.3">
      <c r="A2127" s="57"/>
      <c r="B2127" s="51"/>
      <c r="C2127" s="51"/>
      <c r="D2127" s="51"/>
      <c r="E2127" s="51"/>
      <c r="F2127" s="51"/>
    </row>
    <row r="2128" spans="1:6" s="69" customFormat="1" ht="12" customHeight="1" x14ac:dyDescent="0.3">
      <c r="A2128" s="57"/>
      <c r="B2128" s="51"/>
      <c r="C2128" s="51"/>
      <c r="D2128" s="51"/>
      <c r="E2128" s="51"/>
      <c r="F2128" s="51"/>
    </row>
    <row r="2129" spans="1:6" s="69" customFormat="1" ht="12" customHeight="1" x14ac:dyDescent="0.3">
      <c r="A2129" s="57"/>
      <c r="B2129" s="51"/>
      <c r="C2129" s="51"/>
      <c r="D2129" s="51"/>
      <c r="E2129" s="51"/>
      <c r="F2129" s="51"/>
    </row>
    <row r="2130" spans="1:6" s="69" customFormat="1" ht="12" customHeight="1" x14ac:dyDescent="0.3">
      <c r="A2130" s="57"/>
      <c r="B2130" s="51"/>
      <c r="C2130" s="51"/>
      <c r="D2130" s="51"/>
      <c r="E2130" s="51"/>
      <c r="F2130" s="51"/>
    </row>
    <row r="2131" spans="1:6" s="69" customFormat="1" ht="12" customHeight="1" x14ac:dyDescent="0.3">
      <c r="A2131" s="57"/>
      <c r="B2131" s="51"/>
      <c r="C2131" s="51"/>
      <c r="D2131" s="51"/>
      <c r="E2131" s="51"/>
      <c r="F2131" s="51"/>
    </row>
    <row r="2132" spans="1:6" s="69" customFormat="1" ht="12" customHeight="1" x14ac:dyDescent="0.3">
      <c r="A2132" s="57"/>
      <c r="B2132" s="51"/>
      <c r="C2132" s="51"/>
      <c r="D2132" s="51"/>
      <c r="E2132" s="51"/>
      <c r="F2132" s="51"/>
    </row>
    <row r="2133" spans="1:6" s="69" customFormat="1" ht="12" customHeight="1" x14ac:dyDescent="0.3">
      <c r="A2133" s="57"/>
      <c r="B2133" s="51"/>
      <c r="C2133" s="51"/>
      <c r="D2133" s="51"/>
      <c r="E2133" s="51"/>
      <c r="F2133" s="51"/>
    </row>
    <row r="2134" spans="1:6" s="69" customFormat="1" ht="12" customHeight="1" x14ac:dyDescent="0.3">
      <c r="A2134" s="57"/>
      <c r="B2134" s="51"/>
      <c r="C2134" s="51"/>
      <c r="D2134" s="51"/>
      <c r="E2134" s="51"/>
      <c r="F2134" s="51"/>
    </row>
    <row r="2135" spans="1:6" s="69" customFormat="1" ht="12" customHeight="1" x14ac:dyDescent="0.3">
      <c r="A2135" s="57"/>
      <c r="B2135" s="51"/>
      <c r="C2135" s="51"/>
      <c r="D2135" s="51"/>
      <c r="E2135" s="51"/>
      <c r="F2135" s="51"/>
    </row>
    <row r="2136" spans="1:6" s="69" customFormat="1" ht="12" customHeight="1" x14ac:dyDescent="0.3">
      <c r="A2136" s="57"/>
      <c r="B2136" s="51"/>
      <c r="C2136" s="51"/>
      <c r="D2136" s="51"/>
      <c r="E2136" s="51"/>
      <c r="F2136" s="51"/>
    </row>
    <row r="2137" spans="1:6" s="69" customFormat="1" ht="12" customHeight="1" x14ac:dyDescent="0.3">
      <c r="A2137" s="57"/>
      <c r="B2137" s="51"/>
      <c r="C2137" s="51"/>
      <c r="D2137" s="51"/>
      <c r="E2137" s="51"/>
      <c r="F2137" s="51"/>
    </row>
    <row r="2138" spans="1:6" s="69" customFormat="1" ht="12" customHeight="1" x14ac:dyDescent="0.3">
      <c r="A2138" s="57"/>
      <c r="B2138" s="51"/>
      <c r="C2138" s="51"/>
      <c r="D2138" s="51"/>
      <c r="E2138" s="51"/>
      <c r="F2138" s="51"/>
    </row>
    <row r="2139" spans="1:6" s="69" customFormat="1" ht="12" customHeight="1" x14ac:dyDescent="0.3">
      <c r="A2139" s="57"/>
      <c r="B2139" s="51"/>
      <c r="C2139" s="51"/>
      <c r="D2139" s="51"/>
      <c r="E2139" s="51"/>
      <c r="F2139" s="51"/>
    </row>
    <row r="2140" spans="1:6" s="69" customFormat="1" ht="12" customHeight="1" x14ac:dyDescent="0.3">
      <c r="A2140" s="57"/>
      <c r="B2140" s="51"/>
      <c r="C2140" s="51"/>
      <c r="D2140" s="51"/>
      <c r="E2140" s="51"/>
      <c r="F2140" s="51"/>
    </row>
    <row r="2141" spans="1:6" s="69" customFormat="1" ht="12" customHeight="1" x14ac:dyDescent="0.3">
      <c r="A2141" s="57"/>
      <c r="B2141" s="51"/>
      <c r="C2141" s="51"/>
      <c r="D2141" s="51"/>
      <c r="E2141" s="51"/>
      <c r="F2141" s="51"/>
    </row>
    <row r="2142" spans="1:6" s="69" customFormat="1" ht="12" customHeight="1" x14ac:dyDescent="0.3">
      <c r="A2142" s="57"/>
      <c r="B2142" s="51"/>
      <c r="C2142" s="51"/>
      <c r="D2142" s="51"/>
      <c r="E2142" s="51"/>
      <c r="F2142" s="51"/>
    </row>
    <row r="2143" spans="1:6" s="69" customFormat="1" ht="12" customHeight="1" x14ac:dyDescent="0.3">
      <c r="A2143" s="57"/>
      <c r="B2143" s="51"/>
      <c r="C2143" s="51"/>
      <c r="D2143" s="51"/>
      <c r="E2143" s="51"/>
      <c r="F2143" s="51"/>
    </row>
    <row r="2144" spans="1:6" s="69" customFormat="1" ht="12" customHeight="1" x14ac:dyDescent="0.3">
      <c r="A2144" s="57"/>
      <c r="B2144" s="51"/>
      <c r="C2144" s="51"/>
      <c r="D2144" s="51"/>
      <c r="E2144" s="51"/>
      <c r="F2144" s="51"/>
    </row>
    <row r="2145" spans="1:6" s="69" customFormat="1" ht="12" customHeight="1" x14ac:dyDescent="0.3">
      <c r="A2145" s="57"/>
      <c r="B2145" s="51"/>
      <c r="C2145" s="51"/>
      <c r="D2145" s="51"/>
      <c r="E2145" s="51"/>
      <c r="F2145" s="51"/>
    </row>
    <row r="2146" spans="1:6" s="69" customFormat="1" ht="12" customHeight="1" x14ac:dyDescent="0.3">
      <c r="A2146" s="57"/>
      <c r="B2146" s="51"/>
      <c r="C2146" s="51"/>
      <c r="D2146" s="51"/>
      <c r="E2146" s="51"/>
      <c r="F2146" s="51"/>
    </row>
    <row r="2147" spans="1:6" s="69" customFormat="1" ht="12" customHeight="1" x14ac:dyDescent="0.3">
      <c r="A2147" s="57"/>
      <c r="B2147" s="51"/>
      <c r="C2147" s="51"/>
      <c r="D2147" s="51"/>
      <c r="E2147" s="51"/>
      <c r="F2147" s="51"/>
    </row>
    <row r="2148" spans="1:6" s="69" customFormat="1" ht="12" customHeight="1" x14ac:dyDescent="0.3">
      <c r="A2148" s="57"/>
      <c r="B2148" s="51"/>
      <c r="C2148" s="51"/>
      <c r="D2148" s="51"/>
      <c r="E2148" s="51"/>
      <c r="F2148" s="51"/>
    </row>
    <row r="2149" spans="1:6" s="69" customFormat="1" ht="12" customHeight="1" x14ac:dyDescent="0.3">
      <c r="A2149" s="57"/>
      <c r="B2149" s="51"/>
      <c r="C2149" s="51"/>
      <c r="D2149" s="51"/>
      <c r="E2149" s="51"/>
      <c r="F2149" s="51"/>
    </row>
    <row r="2150" spans="1:6" s="69" customFormat="1" ht="12" customHeight="1" x14ac:dyDescent="0.3">
      <c r="A2150" s="57"/>
      <c r="B2150" s="51"/>
      <c r="C2150" s="51"/>
      <c r="D2150" s="51"/>
      <c r="E2150" s="51"/>
      <c r="F2150" s="51"/>
    </row>
    <row r="2151" spans="1:6" s="69" customFormat="1" ht="12" customHeight="1" x14ac:dyDescent="0.3">
      <c r="A2151" s="57"/>
      <c r="B2151" s="51"/>
      <c r="C2151" s="51"/>
      <c r="D2151" s="51"/>
      <c r="E2151" s="51"/>
      <c r="F2151" s="51"/>
    </row>
    <row r="2152" spans="1:6" s="69" customFormat="1" ht="12" customHeight="1" x14ac:dyDescent="0.3">
      <c r="A2152" s="57"/>
      <c r="B2152" s="51"/>
      <c r="C2152" s="51"/>
      <c r="D2152" s="51"/>
      <c r="E2152" s="51"/>
      <c r="F2152" s="51"/>
    </row>
    <row r="2153" spans="1:6" s="69" customFormat="1" ht="12" customHeight="1" x14ac:dyDescent="0.3">
      <c r="A2153" s="57"/>
      <c r="B2153" s="51"/>
      <c r="C2153" s="51"/>
      <c r="D2153" s="51"/>
      <c r="E2153" s="51"/>
      <c r="F2153" s="51"/>
    </row>
    <row r="2154" spans="1:6" s="69" customFormat="1" ht="12" customHeight="1" x14ac:dyDescent="0.3">
      <c r="A2154" s="57"/>
      <c r="B2154" s="51"/>
      <c r="C2154" s="51"/>
      <c r="D2154" s="51"/>
      <c r="E2154" s="51"/>
      <c r="F2154" s="51"/>
    </row>
    <row r="2155" spans="1:6" s="69" customFormat="1" ht="12" customHeight="1" x14ac:dyDescent="0.3">
      <c r="A2155" s="57"/>
      <c r="B2155" s="51"/>
      <c r="C2155" s="51"/>
      <c r="D2155" s="51"/>
      <c r="E2155" s="51"/>
      <c r="F2155" s="51"/>
    </row>
    <row r="2156" spans="1:6" s="69" customFormat="1" ht="12" customHeight="1" x14ac:dyDescent="0.3">
      <c r="A2156" s="57"/>
      <c r="B2156" s="51"/>
      <c r="C2156" s="51"/>
      <c r="D2156" s="51"/>
      <c r="E2156" s="51"/>
      <c r="F2156" s="51"/>
    </row>
    <row r="2157" spans="1:6" s="69" customFormat="1" ht="12" customHeight="1" x14ac:dyDescent="0.3">
      <c r="A2157" s="57"/>
      <c r="B2157" s="51"/>
      <c r="C2157" s="51"/>
      <c r="D2157" s="51"/>
      <c r="E2157" s="51"/>
      <c r="F2157" s="51"/>
    </row>
    <row r="2158" spans="1:6" s="69" customFormat="1" ht="12" customHeight="1" x14ac:dyDescent="0.3">
      <c r="A2158" s="57"/>
      <c r="B2158" s="51"/>
      <c r="C2158" s="51"/>
      <c r="D2158" s="51"/>
      <c r="E2158" s="51"/>
      <c r="F2158" s="51"/>
    </row>
    <row r="2159" spans="1:6" s="69" customFormat="1" ht="12" customHeight="1" x14ac:dyDescent="0.3">
      <c r="A2159" s="57"/>
      <c r="B2159" s="51"/>
      <c r="C2159" s="51"/>
      <c r="D2159" s="51"/>
      <c r="E2159" s="51"/>
      <c r="F2159" s="51"/>
    </row>
    <row r="2160" spans="1:6" s="69" customFormat="1" ht="12" customHeight="1" x14ac:dyDescent="0.3">
      <c r="A2160" s="57"/>
      <c r="B2160" s="51"/>
      <c r="C2160" s="51"/>
      <c r="D2160" s="51"/>
      <c r="E2160" s="51"/>
      <c r="F2160" s="51"/>
    </row>
    <row r="2161" spans="1:6" s="69" customFormat="1" ht="12" customHeight="1" x14ac:dyDescent="0.3">
      <c r="A2161" s="57"/>
      <c r="B2161" s="51"/>
      <c r="C2161" s="51"/>
      <c r="D2161" s="51"/>
      <c r="E2161" s="51"/>
      <c r="F2161" s="51"/>
    </row>
    <row r="2162" spans="1:6" s="69" customFormat="1" ht="12" customHeight="1" x14ac:dyDescent="0.3">
      <c r="A2162" s="57"/>
      <c r="B2162" s="51"/>
      <c r="C2162" s="51"/>
      <c r="D2162" s="51"/>
      <c r="E2162" s="51"/>
      <c r="F2162" s="51"/>
    </row>
    <row r="2163" spans="1:6" s="69" customFormat="1" ht="12" customHeight="1" x14ac:dyDescent="0.3">
      <c r="A2163" s="57"/>
      <c r="B2163" s="51"/>
      <c r="C2163" s="51"/>
      <c r="D2163" s="51"/>
      <c r="E2163" s="51"/>
      <c r="F2163" s="51"/>
    </row>
    <row r="2164" spans="1:6" s="69" customFormat="1" ht="12" customHeight="1" x14ac:dyDescent="0.3">
      <c r="A2164" s="57"/>
      <c r="B2164" s="51"/>
      <c r="C2164" s="51"/>
      <c r="D2164" s="51"/>
      <c r="E2164" s="51"/>
      <c r="F2164" s="51"/>
    </row>
    <row r="2165" spans="1:6" s="69" customFormat="1" ht="12" customHeight="1" x14ac:dyDescent="0.3">
      <c r="A2165" s="57"/>
      <c r="B2165" s="51"/>
      <c r="C2165" s="51"/>
      <c r="D2165" s="51"/>
      <c r="E2165" s="51"/>
      <c r="F2165" s="51"/>
    </row>
    <row r="2166" spans="1:6" s="69" customFormat="1" ht="12" customHeight="1" x14ac:dyDescent="0.3">
      <c r="A2166" s="57"/>
      <c r="B2166" s="51"/>
      <c r="C2166" s="51"/>
      <c r="D2166" s="51"/>
      <c r="E2166" s="51"/>
      <c r="F2166" s="51"/>
    </row>
    <row r="2167" spans="1:6" s="69" customFormat="1" ht="12" customHeight="1" x14ac:dyDescent="0.3">
      <c r="A2167" s="57"/>
      <c r="B2167" s="51"/>
      <c r="C2167" s="51"/>
      <c r="D2167" s="51"/>
      <c r="E2167" s="51"/>
      <c r="F2167" s="51"/>
    </row>
    <row r="2168" spans="1:6" s="69" customFormat="1" ht="12" customHeight="1" x14ac:dyDescent="0.3">
      <c r="A2168" s="57"/>
      <c r="B2168" s="51"/>
      <c r="C2168" s="51"/>
      <c r="D2168" s="51"/>
      <c r="E2168" s="51"/>
      <c r="F2168" s="51"/>
    </row>
    <row r="2169" spans="1:6" s="69" customFormat="1" ht="12" customHeight="1" x14ac:dyDescent="0.3">
      <c r="A2169" s="57"/>
      <c r="B2169" s="51"/>
      <c r="C2169" s="51"/>
      <c r="D2169" s="51"/>
      <c r="E2169" s="51"/>
      <c r="F2169" s="51"/>
    </row>
    <row r="2170" spans="1:6" s="69" customFormat="1" ht="12" customHeight="1" x14ac:dyDescent="0.3">
      <c r="A2170" s="57"/>
      <c r="B2170" s="51"/>
      <c r="C2170" s="51"/>
      <c r="D2170" s="51"/>
      <c r="E2170" s="51"/>
      <c r="F2170" s="51"/>
    </row>
    <row r="2171" spans="1:6" s="69" customFormat="1" ht="12" customHeight="1" x14ac:dyDescent="0.3">
      <c r="A2171" s="57"/>
      <c r="B2171" s="51"/>
      <c r="C2171" s="51"/>
      <c r="D2171" s="51"/>
      <c r="E2171" s="51"/>
      <c r="F2171" s="51"/>
    </row>
    <row r="2172" spans="1:6" s="69" customFormat="1" ht="12" customHeight="1" x14ac:dyDescent="0.3">
      <c r="A2172" s="57"/>
      <c r="B2172" s="51"/>
      <c r="C2172" s="51"/>
      <c r="D2172" s="51"/>
      <c r="E2172" s="51"/>
      <c r="F2172" s="51"/>
    </row>
    <row r="2173" spans="1:6" s="69" customFormat="1" ht="12" customHeight="1" x14ac:dyDescent="0.3">
      <c r="A2173" s="57"/>
      <c r="B2173" s="51"/>
      <c r="C2173" s="51"/>
      <c r="D2173" s="51"/>
      <c r="E2173" s="51"/>
      <c r="F2173" s="51"/>
    </row>
    <row r="2174" spans="1:6" s="69" customFormat="1" ht="12" customHeight="1" x14ac:dyDescent="0.3">
      <c r="A2174" s="57"/>
      <c r="B2174" s="51"/>
      <c r="C2174" s="51"/>
      <c r="D2174" s="51"/>
      <c r="E2174" s="51"/>
      <c r="F2174" s="51"/>
    </row>
    <row r="2175" spans="1:6" s="69" customFormat="1" ht="12" customHeight="1" x14ac:dyDescent="0.3">
      <c r="A2175" s="57"/>
      <c r="B2175" s="51"/>
      <c r="C2175" s="51"/>
      <c r="D2175" s="51"/>
      <c r="E2175" s="51"/>
      <c r="F2175" s="51"/>
    </row>
    <row r="2176" spans="1:6" s="69" customFormat="1" ht="12" customHeight="1" x14ac:dyDescent="0.3">
      <c r="A2176" s="57"/>
      <c r="B2176" s="51"/>
      <c r="C2176" s="51"/>
      <c r="D2176" s="51"/>
      <c r="E2176" s="51"/>
      <c r="F2176" s="51"/>
    </row>
    <row r="2177" spans="1:6" s="69" customFormat="1" ht="12" customHeight="1" x14ac:dyDescent="0.3">
      <c r="A2177" s="57"/>
      <c r="B2177" s="51"/>
      <c r="C2177" s="51"/>
      <c r="D2177" s="51"/>
      <c r="E2177" s="51"/>
      <c r="F2177" s="51"/>
    </row>
    <row r="2178" spans="1:6" s="69" customFormat="1" ht="12" customHeight="1" x14ac:dyDescent="0.3">
      <c r="A2178" s="57"/>
      <c r="B2178" s="51"/>
      <c r="C2178" s="51"/>
      <c r="D2178" s="51"/>
      <c r="E2178" s="51"/>
      <c r="F2178" s="51"/>
    </row>
    <row r="2179" spans="1:6" s="69" customFormat="1" ht="12" customHeight="1" x14ac:dyDescent="0.3">
      <c r="A2179" s="57"/>
      <c r="B2179" s="51"/>
      <c r="C2179" s="51"/>
      <c r="D2179" s="51"/>
      <c r="E2179" s="51"/>
      <c r="F2179" s="51"/>
    </row>
    <row r="2180" spans="1:6" s="69" customFormat="1" ht="12" customHeight="1" x14ac:dyDescent="0.3">
      <c r="A2180" s="57"/>
      <c r="B2180" s="51"/>
      <c r="C2180" s="51"/>
      <c r="D2180" s="51"/>
      <c r="E2180" s="51"/>
      <c r="F2180" s="51"/>
    </row>
    <row r="2181" spans="1:6" s="69" customFormat="1" ht="12" customHeight="1" x14ac:dyDescent="0.3">
      <c r="A2181" s="57"/>
      <c r="B2181" s="51"/>
      <c r="C2181" s="51"/>
      <c r="D2181" s="51"/>
      <c r="E2181" s="51"/>
      <c r="F2181" s="51"/>
    </row>
    <row r="2182" spans="1:6" s="69" customFormat="1" ht="12" customHeight="1" x14ac:dyDescent="0.3">
      <c r="A2182" s="57"/>
      <c r="B2182" s="51"/>
      <c r="C2182" s="51"/>
      <c r="D2182" s="51"/>
      <c r="E2182" s="51"/>
      <c r="F2182" s="51"/>
    </row>
    <row r="2183" spans="1:6" s="69" customFormat="1" ht="12" customHeight="1" x14ac:dyDescent="0.3">
      <c r="A2183" s="57"/>
      <c r="B2183" s="51"/>
      <c r="C2183" s="51"/>
      <c r="D2183" s="51"/>
      <c r="E2183" s="51"/>
      <c r="F2183" s="51"/>
    </row>
    <row r="2184" spans="1:6" s="69" customFormat="1" ht="12" customHeight="1" x14ac:dyDescent="0.3">
      <c r="A2184" s="57"/>
      <c r="B2184" s="51"/>
      <c r="C2184" s="51"/>
      <c r="D2184" s="51"/>
      <c r="E2184" s="51"/>
      <c r="F2184" s="51"/>
    </row>
    <row r="2185" spans="1:6" s="69" customFormat="1" ht="12" customHeight="1" x14ac:dyDescent="0.3">
      <c r="A2185" s="57"/>
      <c r="B2185" s="51"/>
      <c r="C2185" s="51"/>
      <c r="D2185" s="51"/>
      <c r="E2185" s="51"/>
      <c r="F2185" s="51"/>
    </row>
    <row r="2186" spans="1:6" s="69" customFormat="1" ht="12" customHeight="1" x14ac:dyDescent="0.3">
      <c r="A2186" s="57"/>
      <c r="B2186" s="51"/>
      <c r="C2186" s="51"/>
      <c r="D2186" s="51"/>
      <c r="E2186" s="51"/>
      <c r="F2186" s="51"/>
    </row>
    <row r="2187" spans="1:6" s="69" customFormat="1" ht="12" customHeight="1" x14ac:dyDescent="0.3">
      <c r="A2187" s="57"/>
      <c r="B2187" s="51"/>
      <c r="C2187" s="51"/>
      <c r="D2187" s="51"/>
      <c r="E2187" s="51"/>
      <c r="F2187" s="51"/>
    </row>
    <row r="2188" spans="1:6" s="69" customFormat="1" ht="12" customHeight="1" x14ac:dyDescent="0.3">
      <c r="A2188" s="57"/>
      <c r="B2188" s="51"/>
      <c r="C2188" s="51"/>
      <c r="D2188" s="51"/>
      <c r="E2188" s="51"/>
      <c r="F2188" s="51"/>
    </row>
    <row r="2189" spans="1:6" s="69" customFormat="1" ht="12" customHeight="1" x14ac:dyDescent="0.3">
      <c r="A2189" s="57"/>
      <c r="B2189" s="51"/>
      <c r="C2189" s="51"/>
      <c r="D2189" s="51"/>
      <c r="E2189" s="51"/>
      <c r="F2189" s="51"/>
    </row>
    <row r="2190" spans="1:6" s="69" customFormat="1" ht="12" customHeight="1" x14ac:dyDescent="0.3">
      <c r="A2190" s="57"/>
      <c r="B2190" s="51"/>
      <c r="C2190" s="51"/>
      <c r="D2190" s="51"/>
      <c r="E2190" s="51"/>
      <c r="F2190" s="51"/>
    </row>
    <row r="2191" spans="1:6" s="69" customFormat="1" ht="12" customHeight="1" x14ac:dyDescent="0.3">
      <c r="A2191" s="57"/>
      <c r="B2191" s="51"/>
      <c r="C2191" s="51"/>
      <c r="D2191" s="51"/>
      <c r="E2191" s="51"/>
      <c r="F2191" s="51"/>
    </row>
    <row r="2192" spans="1:6" s="69" customFormat="1" ht="12" customHeight="1" x14ac:dyDescent="0.3">
      <c r="A2192" s="57"/>
      <c r="B2192" s="51"/>
      <c r="C2192" s="51"/>
      <c r="D2192" s="51"/>
      <c r="E2192" s="51"/>
      <c r="F2192" s="51"/>
    </row>
    <row r="2193" spans="1:6" s="69" customFormat="1" ht="12" customHeight="1" x14ac:dyDescent="0.3">
      <c r="A2193" s="57"/>
      <c r="B2193" s="51"/>
      <c r="C2193" s="51"/>
      <c r="D2193" s="51"/>
      <c r="E2193" s="51"/>
      <c r="F2193" s="51"/>
    </row>
    <row r="2194" spans="1:6" s="69" customFormat="1" ht="12" customHeight="1" x14ac:dyDescent="0.3">
      <c r="A2194" s="57"/>
      <c r="B2194" s="51"/>
      <c r="C2194" s="51"/>
      <c r="D2194" s="51"/>
      <c r="E2194" s="51"/>
      <c r="F2194" s="51"/>
    </row>
    <row r="2195" spans="1:6" s="69" customFormat="1" ht="12" customHeight="1" x14ac:dyDescent="0.3">
      <c r="A2195" s="57"/>
      <c r="B2195" s="51"/>
      <c r="C2195" s="51"/>
      <c r="D2195" s="51"/>
      <c r="E2195" s="51"/>
      <c r="F2195" s="51"/>
    </row>
    <row r="2196" spans="1:6" s="69" customFormat="1" ht="12" customHeight="1" x14ac:dyDescent="0.3">
      <c r="A2196" s="57"/>
      <c r="B2196" s="51"/>
      <c r="C2196" s="51"/>
      <c r="D2196" s="51"/>
      <c r="E2196" s="51"/>
      <c r="F2196" s="51"/>
    </row>
    <row r="2197" spans="1:6" s="69" customFormat="1" ht="12" customHeight="1" x14ac:dyDescent="0.3">
      <c r="A2197" s="57"/>
      <c r="B2197" s="51"/>
      <c r="C2197" s="51"/>
      <c r="D2197" s="51"/>
      <c r="E2197" s="51"/>
      <c r="F2197" s="51"/>
    </row>
    <row r="2198" spans="1:6" s="69" customFormat="1" ht="12" customHeight="1" x14ac:dyDescent="0.3">
      <c r="A2198" s="57"/>
      <c r="B2198" s="51"/>
      <c r="C2198" s="51"/>
      <c r="D2198" s="51"/>
      <c r="E2198" s="51"/>
      <c r="F2198" s="51"/>
    </row>
    <row r="2199" spans="1:6" s="69" customFormat="1" ht="12" customHeight="1" x14ac:dyDescent="0.3">
      <c r="A2199" s="57"/>
      <c r="B2199" s="51"/>
      <c r="C2199" s="51"/>
      <c r="D2199" s="51"/>
      <c r="E2199" s="51"/>
      <c r="F2199" s="51"/>
    </row>
    <row r="2200" spans="1:6" s="69" customFormat="1" ht="12" customHeight="1" x14ac:dyDescent="0.3">
      <c r="A2200" s="57"/>
      <c r="B2200" s="51"/>
      <c r="C2200" s="51"/>
      <c r="D2200" s="51"/>
      <c r="E2200" s="51"/>
      <c r="F2200" s="51"/>
    </row>
    <row r="2201" spans="1:6" s="69" customFormat="1" ht="12" customHeight="1" x14ac:dyDescent="0.3">
      <c r="A2201" s="57"/>
      <c r="B2201" s="51"/>
      <c r="C2201" s="51"/>
      <c r="D2201" s="51"/>
      <c r="E2201" s="51"/>
      <c r="F2201" s="51"/>
    </row>
    <row r="2202" spans="1:6" s="69" customFormat="1" ht="12" customHeight="1" x14ac:dyDescent="0.3">
      <c r="A2202" s="57"/>
      <c r="B2202" s="51"/>
      <c r="C2202" s="51"/>
      <c r="D2202" s="51"/>
      <c r="E2202" s="51"/>
      <c r="F2202" s="51"/>
    </row>
    <row r="2203" spans="1:6" s="69" customFormat="1" ht="12" customHeight="1" x14ac:dyDescent="0.3">
      <c r="A2203" s="57"/>
      <c r="B2203" s="51"/>
      <c r="C2203" s="51"/>
      <c r="D2203" s="51"/>
      <c r="E2203" s="51"/>
      <c r="F2203" s="51"/>
    </row>
    <row r="2204" spans="1:6" s="69" customFormat="1" ht="12" customHeight="1" x14ac:dyDescent="0.3">
      <c r="A2204" s="57"/>
      <c r="B2204" s="51"/>
      <c r="C2204" s="51"/>
      <c r="D2204" s="51"/>
      <c r="E2204" s="51"/>
      <c r="F2204" s="51"/>
    </row>
    <row r="2205" spans="1:6" s="69" customFormat="1" ht="12" customHeight="1" x14ac:dyDescent="0.3">
      <c r="A2205" s="57"/>
      <c r="B2205" s="51"/>
      <c r="C2205" s="51"/>
      <c r="D2205" s="51"/>
      <c r="E2205" s="51"/>
      <c r="F2205" s="51"/>
    </row>
    <row r="2206" spans="1:6" s="69" customFormat="1" ht="12" customHeight="1" x14ac:dyDescent="0.3">
      <c r="A2206" s="57"/>
      <c r="B2206" s="51"/>
      <c r="C2206" s="51"/>
      <c r="D2206" s="51"/>
      <c r="E2206" s="51"/>
      <c r="F2206" s="51"/>
    </row>
    <row r="2207" spans="1:6" s="69" customFormat="1" ht="12" customHeight="1" x14ac:dyDescent="0.3">
      <c r="A2207" s="57"/>
      <c r="B2207" s="51"/>
      <c r="C2207" s="51"/>
      <c r="D2207" s="51"/>
      <c r="E2207" s="51"/>
      <c r="F2207" s="51"/>
    </row>
    <row r="2208" spans="1:6" s="69" customFormat="1" ht="12" customHeight="1" x14ac:dyDescent="0.3">
      <c r="A2208" s="57"/>
      <c r="B2208" s="51"/>
      <c r="C2208" s="51"/>
      <c r="D2208" s="51"/>
      <c r="E2208" s="51"/>
      <c r="F2208" s="51"/>
    </row>
    <row r="2209" spans="1:6" s="69" customFormat="1" ht="12" customHeight="1" x14ac:dyDescent="0.3">
      <c r="A2209" s="57"/>
      <c r="B2209" s="51"/>
      <c r="C2209" s="51"/>
      <c r="D2209" s="51"/>
      <c r="E2209" s="51"/>
      <c r="F2209" s="51"/>
    </row>
    <row r="2210" spans="1:6" s="69" customFormat="1" ht="12" customHeight="1" x14ac:dyDescent="0.3">
      <c r="A2210" s="57"/>
      <c r="B2210" s="51"/>
      <c r="C2210" s="51"/>
      <c r="D2210" s="51"/>
      <c r="E2210" s="51"/>
      <c r="F2210" s="51"/>
    </row>
    <row r="2211" spans="1:6" s="69" customFormat="1" ht="12" customHeight="1" x14ac:dyDescent="0.3">
      <c r="A2211" s="57"/>
      <c r="B2211" s="51"/>
      <c r="C2211" s="51"/>
      <c r="D2211" s="51"/>
      <c r="E2211" s="51"/>
      <c r="F2211" s="51"/>
    </row>
    <row r="2212" spans="1:6" s="69" customFormat="1" ht="12" customHeight="1" x14ac:dyDescent="0.3">
      <c r="A2212" s="57"/>
      <c r="B2212" s="51"/>
      <c r="C2212" s="51"/>
      <c r="D2212" s="51"/>
      <c r="E2212" s="51"/>
      <c r="F2212" s="51"/>
    </row>
    <row r="2213" spans="1:6" s="69" customFormat="1" ht="12" customHeight="1" x14ac:dyDescent="0.3">
      <c r="A2213" s="57"/>
      <c r="B2213" s="51"/>
      <c r="C2213" s="51"/>
      <c r="D2213" s="51"/>
      <c r="E2213" s="51"/>
      <c r="F2213" s="51"/>
    </row>
    <row r="2214" spans="1:6" s="69" customFormat="1" ht="12" customHeight="1" x14ac:dyDescent="0.3">
      <c r="A2214" s="57"/>
      <c r="B2214" s="51"/>
      <c r="C2214" s="51"/>
      <c r="D2214" s="51"/>
      <c r="E2214" s="51"/>
      <c r="F2214" s="51"/>
    </row>
    <row r="2215" spans="1:6" s="69" customFormat="1" ht="12" customHeight="1" x14ac:dyDescent="0.3">
      <c r="A2215" s="57"/>
      <c r="B2215" s="51"/>
      <c r="C2215" s="51"/>
      <c r="D2215" s="51"/>
      <c r="E2215" s="51"/>
      <c r="F2215" s="51"/>
    </row>
    <row r="2216" spans="1:6" s="69" customFormat="1" ht="12" customHeight="1" x14ac:dyDescent="0.3">
      <c r="A2216" s="57"/>
      <c r="B2216" s="51"/>
      <c r="C2216" s="51"/>
      <c r="D2216" s="51"/>
      <c r="E2216" s="51"/>
      <c r="F2216" s="51"/>
    </row>
    <row r="2217" spans="1:6" s="69" customFormat="1" ht="12" customHeight="1" x14ac:dyDescent="0.3">
      <c r="A2217" s="57"/>
      <c r="B2217" s="51"/>
      <c r="C2217" s="51"/>
      <c r="D2217" s="51"/>
      <c r="E2217" s="51"/>
      <c r="F2217" s="51"/>
    </row>
    <row r="2218" spans="1:6" s="69" customFormat="1" ht="12" customHeight="1" x14ac:dyDescent="0.3">
      <c r="A2218" s="57"/>
      <c r="B2218" s="51"/>
      <c r="C2218" s="51"/>
      <c r="D2218" s="51"/>
      <c r="E2218" s="51"/>
      <c r="F2218" s="51"/>
    </row>
    <row r="2219" spans="1:6" s="69" customFormat="1" ht="12" customHeight="1" x14ac:dyDescent="0.3">
      <c r="A2219" s="57"/>
      <c r="B2219" s="51"/>
      <c r="C2219" s="51"/>
      <c r="D2219" s="51"/>
      <c r="E2219" s="51"/>
      <c r="F2219" s="51"/>
    </row>
    <row r="2220" spans="1:6" s="69" customFormat="1" ht="12" customHeight="1" x14ac:dyDescent="0.3">
      <c r="A2220" s="57"/>
      <c r="B2220" s="51"/>
      <c r="C2220" s="51"/>
      <c r="D2220" s="51"/>
      <c r="E2220" s="51"/>
      <c r="F2220" s="51"/>
    </row>
    <row r="2221" spans="1:6" s="69" customFormat="1" ht="12" customHeight="1" x14ac:dyDescent="0.3">
      <c r="A2221" s="57"/>
      <c r="B2221" s="51"/>
      <c r="C2221" s="51"/>
      <c r="D2221" s="51"/>
      <c r="E2221" s="51"/>
      <c r="F2221" s="51"/>
    </row>
    <row r="2222" spans="1:6" s="69" customFormat="1" ht="12" customHeight="1" x14ac:dyDescent="0.3">
      <c r="A2222" s="57"/>
      <c r="B2222" s="51"/>
      <c r="C2222" s="51"/>
      <c r="D2222" s="51"/>
      <c r="E2222" s="51"/>
      <c r="F2222" s="51"/>
    </row>
    <row r="2223" spans="1:6" s="69" customFormat="1" ht="12" customHeight="1" x14ac:dyDescent="0.3">
      <c r="A2223" s="57"/>
      <c r="B2223" s="51"/>
      <c r="C2223" s="51"/>
      <c r="D2223" s="51"/>
      <c r="E2223" s="51"/>
      <c r="F2223" s="51"/>
    </row>
    <row r="2224" spans="1:6" s="69" customFormat="1" ht="12" customHeight="1" x14ac:dyDescent="0.3">
      <c r="A2224" s="57"/>
      <c r="B2224" s="51"/>
      <c r="C2224" s="51"/>
      <c r="D2224" s="51"/>
      <c r="E2224" s="51"/>
      <c r="F2224" s="51"/>
    </row>
    <row r="2225" spans="1:6" s="69" customFormat="1" ht="12" customHeight="1" x14ac:dyDescent="0.3">
      <c r="A2225" s="57"/>
      <c r="B2225" s="51"/>
      <c r="C2225" s="51"/>
      <c r="D2225" s="51"/>
      <c r="E2225" s="51"/>
      <c r="F2225" s="51"/>
    </row>
    <row r="2226" spans="1:6" s="69" customFormat="1" ht="12" customHeight="1" x14ac:dyDescent="0.3">
      <c r="A2226" s="57"/>
      <c r="B2226" s="51"/>
      <c r="C2226" s="51"/>
      <c r="D2226" s="51"/>
      <c r="E2226" s="51"/>
      <c r="F2226" s="51"/>
    </row>
    <row r="2227" spans="1:6" s="69" customFormat="1" ht="12" customHeight="1" x14ac:dyDescent="0.3">
      <c r="A2227" s="57"/>
      <c r="B2227" s="51"/>
      <c r="C2227" s="51"/>
      <c r="D2227" s="51"/>
      <c r="E2227" s="51"/>
      <c r="F2227" s="51"/>
    </row>
    <row r="2228" spans="1:6" s="69" customFormat="1" ht="12" customHeight="1" x14ac:dyDescent="0.3">
      <c r="A2228" s="57"/>
      <c r="B2228" s="51"/>
      <c r="C2228" s="51"/>
      <c r="D2228" s="51"/>
      <c r="E2228" s="51"/>
      <c r="F2228" s="51"/>
    </row>
    <row r="2229" spans="1:6" s="69" customFormat="1" ht="12" customHeight="1" x14ac:dyDescent="0.3">
      <c r="A2229" s="57"/>
      <c r="B2229" s="51"/>
      <c r="C2229" s="51"/>
      <c r="D2229" s="51"/>
      <c r="E2229" s="51"/>
      <c r="F2229" s="51"/>
    </row>
    <row r="2230" spans="1:6" s="69" customFormat="1" ht="12" customHeight="1" x14ac:dyDescent="0.3">
      <c r="A2230" s="57"/>
      <c r="B2230" s="51"/>
      <c r="C2230" s="51"/>
      <c r="D2230" s="51"/>
      <c r="E2230" s="51"/>
      <c r="F2230" s="51"/>
    </row>
    <row r="2231" spans="1:6" s="69" customFormat="1" ht="12" customHeight="1" x14ac:dyDescent="0.3">
      <c r="A2231" s="57"/>
      <c r="B2231" s="51"/>
      <c r="C2231" s="51"/>
      <c r="D2231" s="51"/>
      <c r="E2231" s="51"/>
      <c r="F2231" s="51"/>
    </row>
    <row r="2232" spans="1:6" s="69" customFormat="1" ht="12" customHeight="1" x14ac:dyDescent="0.3">
      <c r="A2232" s="57"/>
      <c r="B2232" s="51"/>
      <c r="C2232" s="51"/>
      <c r="D2232" s="51"/>
      <c r="E2232" s="51"/>
      <c r="F2232" s="51"/>
    </row>
    <row r="2233" spans="1:6" s="69" customFormat="1" ht="12" customHeight="1" x14ac:dyDescent="0.3">
      <c r="A2233" s="57"/>
      <c r="B2233" s="51"/>
      <c r="C2233" s="51"/>
      <c r="D2233" s="51"/>
      <c r="E2233" s="51"/>
      <c r="F2233" s="51"/>
    </row>
    <row r="2234" spans="1:6" s="69" customFormat="1" ht="12" customHeight="1" x14ac:dyDescent="0.3">
      <c r="A2234" s="57"/>
      <c r="B2234" s="51"/>
      <c r="C2234" s="51"/>
      <c r="D2234" s="51"/>
      <c r="E2234" s="51"/>
      <c r="F2234" s="51"/>
    </row>
    <row r="2235" spans="1:6" s="69" customFormat="1" ht="12" customHeight="1" x14ac:dyDescent="0.3">
      <c r="A2235" s="57"/>
      <c r="B2235" s="51"/>
      <c r="C2235" s="51"/>
      <c r="D2235" s="51"/>
      <c r="E2235" s="51"/>
      <c r="F2235" s="51"/>
    </row>
    <row r="2236" spans="1:6" s="69" customFormat="1" ht="12" customHeight="1" x14ac:dyDescent="0.3">
      <c r="A2236" s="57"/>
      <c r="B2236" s="51"/>
      <c r="C2236" s="51"/>
      <c r="D2236" s="51"/>
      <c r="E2236" s="51"/>
      <c r="F2236" s="51"/>
    </row>
    <row r="2237" spans="1:6" s="69" customFormat="1" ht="12" customHeight="1" x14ac:dyDescent="0.3">
      <c r="A2237" s="57"/>
      <c r="B2237" s="51"/>
      <c r="C2237" s="51"/>
      <c r="D2237" s="51"/>
      <c r="E2237" s="51"/>
      <c r="F2237" s="51"/>
    </row>
    <row r="2238" spans="1:6" s="69" customFormat="1" ht="12" customHeight="1" x14ac:dyDescent="0.3">
      <c r="A2238" s="57"/>
      <c r="B2238" s="51"/>
      <c r="C2238" s="51"/>
      <c r="D2238" s="51"/>
      <c r="E2238" s="51"/>
      <c r="F2238" s="51"/>
    </row>
    <row r="2239" spans="1:6" s="69" customFormat="1" ht="12" customHeight="1" x14ac:dyDescent="0.3">
      <c r="A2239" s="57"/>
      <c r="B2239" s="51"/>
      <c r="C2239" s="51"/>
      <c r="D2239" s="51"/>
      <c r="E2239" s="51"/>
      <c r="F2239" s="51"/>
    </row>
    <row r="2240" spans="1:6" s="69" customFormat="1" ht="12" customHeight="1" x14ac:dyDescent="0.3">
      <c r="A2240" s="57"/>
      <c r="B2240" s="51"/>
      <c r="C2240" s="51"/>
      <c r="D2240" s="51"/>
      <c r="E2240" s="51"/>
      <c r="F2240" s="51"/>
    </row>
    <row r="2241" spans="1:6" s="69" customFormat="1" ht="12" customHeight="1" x14ac:dyDescent="0.3">
      <c r="A2241" s="57"/>
      <c r="B2241" s="51"/>
      <c r="C2241" s="51"/>
      <c r="D2241" s="51"/>
      <c r="E2241" s="51"/>
      <c r="F2241" s="51"/>
    </row>
    <row r="2242" spans="1:6" s="69" customFormat="1" ht="12" customHeight="1" x14ac:dyDescent="0.3">
      <c r="A2242" s="57"/>
      <c r="B2242" s="51"/>
      <c r="C2242" s="51"/>
      <c r="D2242" s="51"/>
      <c r="E2242" s="51"/>
      <c r="F2242" s="51"/>
    </row>
    <row r="2243" spans="1:6" s="69" customFormat="1" ht="12" customHeight="1" x14ac:dyDescent="0.3">
      <c r="A2243" s="57"/>
      <c r="B2243" s="51"/>
      <c r="C2243" s="51"/>
      <c r="D2243" s="51"/>
      <c r="E2243" s="51"/>
      <c r="F2243" s="51"/>
    </row>
    <row r="2244" spans="1:6" s="69" customFormat="1" ht="12" customHeight="1" x14ac:dyDescent="0.3">
      <c r="A2244" s="57"/>
      <c r="B2244" s="51"/>
      <c r="C2244" s="51"/>
      <c r="D2244" s="51"/>
      <c r="E2244" s="51"/>
      <c r="F2244" s="51"/>
    </row>
    <row r="2245" spans="1:6" s="69" customFormat="1" ht="12" customHeight="1" x14ac:dyDescent="0.3">
      <c r="A2245" s="57"/>
      <c r="B2245" s="51"/>
      <c r="C2245" s="51"/>
      <c r="D2245" s="51"/>
      <c r="E2245" s="51"/>
      <c r="F2245" s="51"/>
    </row>
    <row r="2246" spans="1:6" s="69" customFormat="1" ht="12" customHeight="1" x14ac:dyDescent="0.3">
      <c r="A2246" s="57"/>
      <c r="B2246" s="51"/>
      <c r="C2246" s="51"/>
      <c r="D2246" s="51"/>
      <c r="E2246" s="51"/>
      <c r="F2246" s="51"/>
    </row>
    <row r="2247" spans="1:6" s="69" customFormat="1" ht="12" customHeight="1" x14ac:dyDescent="0.3">
      <c r="A2247" s="57"/>
      <c r="B2247" s="51"/>
      <c r="C2247" s="51"/>
      <c r="D2247" s="51"/>
      <c r="E2247" s="51"/>
      <c r="F2247" s="51"/>
    </row>
    <row r="2248" spans="1:6" s="69" customFormat="1" ht="12" customHeight="1" x14ac:dyDescent="0.3">
      <c r="A2248" s="57"/>
      <c r="B2248" s="51"/>
      <c r="C2248" s="51"/>
      <c r="D2248" s="51"/>
      <c r="E2248" s="51"/>
      <c r="F2248" s="51"/>
    </row>
    <row r="2249" spans="1:6" s="69" customFormat="1" ht="12" customHeight="1" x14ac:dyDescent="0.3">
      <c r="A2249" s="57"/>
      <c r="B2249" s="51"/>
      <c r="C2249" s="51"/>
      <c r="D2249" s="51"/>
      <c r="E2249" s="51"/>
      <c r="F2249" s="51"/>
    </row>
    <row r="2250" spans="1:6" s="69" customFormat="1" ht="12" customHeight="1" x14ac:dyDescent="0.3">
      <c r="A2250" s="57"/>
      <c r="B2250" s="51"/>
      <c r="C2250" s="51"/>
      <c r="D2250" s="51"/>
      <c r="E2250" s="51"/>
      <c r="F2250" s="51"/>
    </row>
    <row r="2251" spans="1:6" s="69" customFormat="1" ht="12" customHeight="1" x14ac:dyDescent="0.3">
      <c r="A2251" s="57"/>
      <c r="B2251" s="51"/>
      <c r="C2251" s="51"/>
      <c r="D2251" s="51"/>
      <c r="E2251" s="51"/>
      <c r="F2251" s="51"/>
    </row>
    <row r="2252" spans="1:6" s="69" customFormat="1" ht="12" customHeight="1" x14ac:dyDescent="0.3">
      <c r="A2252" s="57"/>
      <c r="B2252" s="51"/>
      <c r="C2252" s="51"/>
      <c r="D2252" s="51"/>
      <c r="E2252" s="51"/>
      <c r="F2252" s="51"/>
    </row>
    <row r="2253" spans="1:6" s="69" customFormat="1" ht="12" customHeight="1" x14ac:dyDescent="0.3">
      <c r="A2253" s="57"/>
      <c r="B2253" s="51"/>
      <c r="C2253" s="51"/>
      <c r="D2253" s="51"/>
      <c r="E2253" s="51"/>
      <c r="F2253" s="51"/>
    </row>
    <row r="2254" spans="1:6" s="69" customFormat="1" ht="12" customHeight="1" x14ac:dyDescent="0.3">
      <c r="A2254" s="57"/>
      <c r="B2254" s="51"/>
      <c r="C2254" s="51"/>
      <c r="D2254" s="51"/>
      <c r="E2254" s="51"/>
      <c r="F2254" s="51"/>
    </row>
    <row r="2255" spans="1:6" s="69" customFormat="1" ht="12" customHeight="1" x14ac:dyDescent="0.3">
      <c r="A2255" s="57"/>
      <c r="B2255" s="51"/>
      <c r="C2255" s="51"/>
      <c r="D2255" s="51"/>
      <c r="E2255" s="51"/>
      <c r="F2255" s="51"/>
    </row>
    <row r="2256" spans="1:6" s="69" customFormat="1" ht="12" customHeight="1" x14ac:dyDescent="0.3">
      <c r="A2256" s="57"/>
      <c r="B2256" s="51"/>
      <c r="C2256" s="51"/>
      <c r="D2256" s="51"/>
      <c r="E2256" s="51"/>
      <c r="F2256" s="51"/>
    </row>
    <row r="2257" spans="1:6" s="69" customFormat="1" ht="12" customHeight="1" x14ac:dyDescent="0.3">
      <c r="A2257" s="57"/>
      <c r="B2257" s="51"/>
      <c r="C2257" s="51"/>
      <c r="D2257" s="51"/>
      <c r="E2257" s="51"/>
      <c r="F2257" s="51"/>
    </row>
    <row r="2258" spans="1:6" s="69" customFormat="1" ht="12" customHeight="1" x14ac:dyDescent="0.3">
      <c r="A2258" s="57"/>
      <c r="B2258" s="51"/>
      <c r="C2258" s="51"/>
      <c r="D2258" s="51"/>
      <c r="E2258" s="51"/>
      <c r="F2258" s="51"/>
    </row>
    <row r="2259" spans="1:6" s="69" customFormat="1" ht="12" customHeight="1" x14ac:dyDescent="0.3">
      <c r="A2259" s="57"/>
      <c r="B2259" s="51"/>
      <c r="C2259" s="51"/>
      <c r="D2259" s="51"/>
      <c r="E2259" s="51"/>
      <c r="F2259" s="51"/>
    </row>
    <row r="2260" spans="1:6" s="69" customFormat="1" ht="12" customHeight="1" x14ac:dyDescent="0.3">
      <c r="A2260" s="57"/>
      <c r="B2260" s="51"/>
      <c r="C2260" s="51"/>
      <c r="D2260" s="51"/>
      <c r="E2260" s="51"/>
      <c r="F2260" s="51"/>
    </row>
    <row r="2261" spans="1:6" s="69" customFormat="1" ht="12" customHeight="1" x14ac:dyDescent="0.3">
      <c r="A2261" s="57"/>
      <c r="B2261" s="51"/>
      <c r="C2261" s="51"/>
      <c r="D2261" s="51"/>
      <c r="E2261" s="51"/>
      <c r="F2261" s="51"/>
    </row>
    <row r="2262" spans="1:6" s="69" customFormat="1" ht="12" customHeight="1" x14ac:dyDescent="0.3">
      <c r="A2262" s="57"/>
      <c r="B2262" s="51"/>
      <c r="C2262" s="51"/>
      <c r="D2262" s="51"/>
      <c r="E2262" s="51"/>
      <c r="F2262" s="51"/>
    </row>
    <row r="2263" spans="1:6" s="69" customFormat="1" ht="12" customHeight="1" x14ac:dyDescent="0.3">
      <c r="A2263" s="57"/>
      <c r="B2263" s="51"/>
      <c r="C2263" s="51"/>
      <c r="D2263" s="51"/>
      <c r="E2263" s="51"/>
      <c r="F2263" s="51"/>
    </row>
    <row r="2264" spans="1:6" s="69" customFormat="1" ht="12" customHeight="1" x14ac:dyDescent="0.3">
      <c r="A2264" s="57"/>
      <c r="B2264" s="51"/>
      <c r="C2264" s="51"/>
      <c r="D2264" s="51"/>
      <c r="E2264" s="51"/>
      <c r="F2264" s="51"/>
    </row>
    <row r="2265" spans="1:6" s="69" customFormat="1" ht="12" customHeight="1" x14ac:dyDescent="0.3">
      <c r="A2265" s="57"/>
      <c r="B2265" s="51"/>
      <c r="C2265" s="51"/>
      <c r="D2265" s="51"/>
      <c r="E2265" s="51"/>
      <c r="F2265" s="51"/>
    </row>
    <row r="2266" spans="1:6" s="69" customFormat="1" ht="12" customHeight="1" x14ac:dyDescent="0.3">
      <c r="A2266" s="57"/>
      <c r="B2266" s="51"/>
      <c r="C2266" s="51"/>
      <c r="D2266" s="51"/>
      <c r="E2266" s="51"/>
      <c r="F2266" s="51"/>
    </row>
    <row r="2267" spans="1:6" s="69" customFormat="1" ht="12" customHeight="1" x14ac:dyDescent="0.3">
      <c r="A2267" s="57"/>
      <c r="B2267" s="51"/>
      <c r="C2267" s="51"/>
      <c r="D2267" s="51"/>
      <c r="E2267" s="51"/>
      <c r="F2267" s="51"/>
    </row>
    <row r="2268" spans="1:6" s="69" customFormat="1" ht="12" customHeight="1" x14ac:dyDescent="0.3">
      <c r="A2268" s="57"/>
      <c r="B2268" s="51"/>
      <c r="C2268" s="51"/>
      <c r="D2268" s="51"/>
      <c r="E2268" s="51"/>
      <c r="F2268" s="51"/>
    </row>
    <row r="2269" spans="1:6" s="69" customFormat="1" ht="12" customHeight="1" x14ac:dyDescent="0.3">
      <c r="A2269" s="57"/>
      <c r="B2269" s="51"/>
      <c r="C2269" s="51"/>
      <c r="D2269" s="51"/>
      <c r="E2269" s="51"/>
      <c r="F2269" s="51"/>
    </row>
    <row r="2270" spans="1:6" s="69" customFormat="1" ht="12" customHeight="1" x14ac:dyDescent="0.3">
      <c r="A2270" s="57"/>
      <c r="B2270" s="51"/>
      <c r="C2270" s="51"/>
      <c r="D2270" s="51"/>
      <c r="E2270" s="51"/>
      <c r="F2270" s="51"/>
    </row>
    <row r="2271" spans="1:6" s="69" customFormat="1" ht="12" customHeight="1" x14ac:dyDescent="0.3">
      <c r="A2271" s="57"/>
      <c r="B2271" s="51"/>
      <c r="C2271" s="51"/>
      <c r="D2271" s="51"/>
      <c r="E2271" s="51"/>
      <c r="F2271" s="51"/>
    </row>
    <row r="2272" spans="1:6" s="69" customFormat="1" ht="12" customHeight="1" x14ac:dyDescent="0.3">
      <c r="A2272" s="57"/>
      <c r="B2272" s="51"/>
      <c r="C2272" s="51"/>
      <c r="D2272" s="51"/>
      <c r="E2272" s="51"/>
      <c r="F2272" s="51"/>
    </row>
    <row r="2273" spans="1:6" s="69" customFormat="1" ht="12" customHeight="1" x14ac:dyDescent="0.3">
      <c r="A2273" s="57"/>
      <c r="B2273" s="51"/>
      <c r="C2273" s="51"/>
      <c r="D2273" s="51"/>
      <c r="E2273" s="51"/>
      <c r="F2273" s="51"/>
    </row>
    <row r="2274" spans="1:6" s="69" customFormat="1" ht="12" customHeight="1" x14ac:dyDescent="0.3">
      <c r="A2274" s="57"/>
      <c r="B2274" s="51"/>
      <c r="C2274" s="51"/>
      <c r="D2274" s="51"/>
      <c r="E2274" s="51"/>
      <c r="F2274" s="51"/>
    </row>
    <row r="2275" spans="1:6" s="69" customFormat="1" ht="12" customHeight="1" x14ac:dyDescent="0.3">
      <c r="A2275" s="57"/>
      <c r="B2275" s="51"/>
      <c r="C2275" s="51"/>
      <c r="D2275" s="51"/>
      <c r="E2275" s="51"/>
      <c r="F2275" s="51"/>
    </row>
    <row r="2276" spans="1:6" s="69" customFormat="1" ht="12" customHeight="1" x14ac:dyDescent="0.3">
      <c r="A2276" s="57"/>
      <c r="B2276" s="51"/>
      <c r="C2276" s="51"/>
      <c r="D2276" s="51"/>
      <c r="E2276" s="51"/>
      <c r="F2276" s="51"/>
    </row>
    <row r="2277" spans="1:6" s="69" customFormat="1" ht="12" customHeight="1" x14ac:dyDescent="0.3">
      <c r="A2277" s="57"/>
      <c r="B2277" s="51"/>
      <c r="C2277" s="51"/>
      <c r="D2277" s="51"/>
      <c r="E2277" s="51"/>
      <c r="F2277" s="51"/>
    </row>
    <row r="2278" spans="1:6" s="69" customFormat="1" ht="12" customHeight="1" x14ac:dyDescent="0.3">
      <c r="A2278" s="57"/>
      <c r="B2278" s="51"/>
      <c r="C2278" s="51"/>
      <c r="D2278" s="51"/>
      <c r="E2278" s="51"/>
      <c r="F2278" s="51"/>
    </row>
    <row r="2279" spans="1:6" s="69" customFormat="1" ht="12" customHeight="1" x14ac:dyDescent="0.3">
      <c r="A2279" s="57"/>
      <c r="B2279" s="51"/>
      <c r="C2279" s="51"/>
      <c r="D2279" s="51"/>
      <c r="E2279" s="51"/>
      <c r="F2279" s="51"/>
    </row>
    <row r="2280" spans="1:6" s="69" customFormat="1" ht="12" customHeight="1" x14ac:dyDescent="0.3">
      <c r="A2280" s="57"/>
      <c r="B2280" s="51"/>
      <c r="C2280" s="51"/>
      <c r="D2280" s="51"/>
      <c r="E2280" s="51"/>
      <c r="F2280" s="51"/>
    </row>
    <row r="2281" spans="1:6" s="69" customFormat="1" ht="12" customHeight="1" x14ac:dyDescent="0.3">
      <c r="A2281" s="57"/>
      <c r="B2281" s="51"/>
      <c r="C2281" s="51"/>
      <c r="D2281" s="51"/>
      <c r="E2281" s="51"/>
      <c r="F2281" s="51"/>
    </row>
    <row r="2282" spans="1:6" s="69" customFormat="1" ht="12" customHeight="1" x14ac:dyDescent="0.3">
      <c r="A2282" s="57"/>
      <c r="B2282" s="51"/>
      <c r="C2282" s="51"/>
      <c r="D2282" s="51"/>
      <c r="E2282" s="51"/>
      <c r="F2282" s="51"/>
    </row>
    <row r="2283" spans="1:6" s="69" customFormat="1" ht="12" customHeight="1" x14ac:dyDescent="0.3">
      <c r="A2283" s="57"/>
      <c r="B2283" s="51"/>
      <c r="C2283" s="51"/>
      <c r="D2283" s="51"/>
      <c r="E2283" s="51"/>
      <c r="F2283" s="51"/>
    </row>
    <row r="2284" spans="1:6" s="69" customFormat="1" ht="12" customHeight="1" x14ac:dyDescent="0.3">
      <c r="A2284" s="57"/>
      <c r="B2284" s="51"/>
      <c r="C2284" s="51"/>
      <c r="D2284" s="51"/>
      <c r="E2284" s="51"/>
      <c r="F2284" s="51"/>
    </row>
    <row r="2285" spans="1:6" s="69" customFormat="1" ht="12" customHeight="1" x14ac:dyDescent="0.3">
      <c r="A2285" s="57"/>
      <c r="B2285" s="51"/>
      <c r="C2285" s="51"/>
      <c r="D2285" s="51"/>
      <c r="E2285" s="51"/>
      <c r="F2285" s="51"/>
    </row>
    <row r="2286" spans="1:6" s="69" customFormat="1" ht="12" customHeight="1" x14ac:dyDescent="0.3">
      <c r="A2286" s="57"/>
      <c r="B2286" s="51"/>
      <c r="C2286" s="51"/>
      <c r="D2286" s="51"/>
      <c r="E2286" s="51"/>
      <c r="F2286" s="51"/>
    </row>
    <row r="2287" spans="1:6" s="69" customFormat="1" ht="12" customHeight="1" x14ac:dyDescent="0.3">
      <c r="A2287" s="57"/>
      <c r="B2287" s="51"/>
      <c r="C2287" s="51"/>
      <c r="D2287" s="51"/>
      <c r="E2287" s="51"/>
      <c r="F2287" s="51"/>
    </row>
    <row r="2288" spans="1:6" s="69" customFormat="1" ht="12" customHeight="1" x14ac:dyDescent="0.3">
      <c r="A2288" s="57"/>
      <c r="B2288" s="51"/>
      <c r="C2288" s="51"/>
      <c r="D2288" s="51"/>
      <c r="E2288" s="51"/>
      <c r="F2288" s="51"/>
    </row>
    <row r="2289" spans="1:6" s="69" customFormat="1" ht="12" customHeight="1" x14ac:dyDescent="0.3">
      <c r="A2289" s="57"/>
      <c r="B2289" s="51"/>
      <c r="C2289" s="51"/>
      <c r="D2289" s="51"/>
      <c r="E2289" s="51"/>
      <c r="F2289" s="51"/>
    </row>
    <row r="2290" spans="1:6" s="69" customFormat="1" ht="12" customHeight="1" x14ac:dyDescent="0.3">
      <c r="A2290" s="57"/>
      <c r="B2290" s="51"/>
      <c r="C2290" s="51"/>
      <c r="D2290" s="51"/>
      <c r="E2290" s="51"/>
      <c r="F2290" s="51"/>
    </row>
    <row r="2291" spans="1:6" s="69" customFormat="1" ht="12" customHeight="1" x14ac:dyDescent="0.3">
      <c r="A2291" s="57"/>
      <c r="B2291" s="51"/>
      <c r="C2291" s="51"/>
      <c r="D2291" s="51"/>
      <c r="E2291" s="51"/>
      <c r="F2291" s="51"/>
    </row>
    <row r="2292" spans="1:6" s="69" customFormat="1" ht="12" customHeight="1" x14ac:dyDescent="0.3">
      <c r="A2292" s="57"/>
      <c r="B2292" s="51"/>
      <c r="C2292" s="51"/>
      <c r="D2292" s="51"/>
      <c r="E2292" s="51"/>
      <c r="F2292" s="51"/>
    </row>
    <row r="2293" spans="1:6" s="69" customFormat="1" ht="12" customHeight="1" x14ac:dyDescent="0.3">
      <c r="A2293" s="57"/>
      <c r="B2293" s="51"/>
      <c r="C2293" s="51"/>
      <c r="D2293" s="51"/>
      <c r="E2293" s="51"/>
      <c r="F2293" s="51"/>
    </row>
    <row r="2294" spans="1:6" s="69" customFormat="1" ht="12" customHeight="1" x14ac:dyDescent="0.3">
      <c r="A2294" s="57"/>
      <c r="B2294" s="51"/>
      <c r="C2294" s="51"/>
      <c r="D2294" s="51"/>
      <c r="E2294" s="51"/>
      <c r="F2294" s="51"/>
    </row>
    <row r="2295" spans="1:6" s="69" customFormat="1" ht="12" customHeight="1" x14ac:dyDescent="0.3">
      <c r="A2295" s="57"/>
      <c r="B2295" s="51"/>
      <c r="C2295" s="51"/>
      <c r="D2295" s="51"/>
      <c r="E2295" s="51"/>
      <c r="F2295" s="51"/>
    </row>
    <row r="2296" spans="1:6" s="69" customFormat="1" ht="12" customHeight="1" x14ac:dyDescent="0.3">
      <c r="A2296" s="57"/>
      <c r="B2296" s="51"/>
      <c r="C2296" s="51"/>
      <c r="D2296" s="51"/>
      <c r="E2296" s="51"/>
      <c r="F2296" s="51"/>
    </row>
    <row r="2297" spans="1:6" s="69" customFormat="1" ht="12" customHeight="1" x14ac:dyDescent="0.3">
      <c r="A2297" s="57"/>
      <c r="B2297" s="51"/>
      <c r="C2297" s="51"/>
      <c r="D2297" s="51"/>
      <c r="E2297" s="51"/>
      <c r="F2297" s="51"/>
    </row>
    <row r="2298" spans="1:6" s="69" customFormat="1" ht="12" customHeight="1" x14ac:dyDescent="0.3">
      <c r="A2298" s="57"/>
      <c r="B2298" s="51"/>
      <c r="C2298" s="51"/>
      <c r="D2298" s="51"/>
      <c r="E2298" s="51"/>
      <c r="F2298" s="51"/>
    </row>
    <row r="2299" spans="1:6" s="69" customFormat="1" ht="12" customHeight="1" x14ac:dyDescent="0.3">
      <c r="A2299" s="57"/>
      <c r="B2299" s="51"/>
      <c r="C2299" s="51"/>
      <c r="D2299" s="51"/>
      <c r="E2299" s="51"/>
      <c r="F2299" s="51"/>
    </row>
    <row r="2300" spans="1:6" s="69" customFormat="1" ht="12" customHeight="1" x14ac:dyDescent="0.3">
      <c r="A2300" s="57"/>
      <c r="B2300" s="51"/>
      <c r="C2300" s="51"/>
      <c r="D2300" s="51"/>
      <c r="E2300" s="51"/>
      <c r="F2300" s="51"/>
    </row>
    <row r="2301" spans="1:6" s="69" customFormat="1" ht="12" customHeight="1" x14ac:dyDescent="0.3">
      <c r="A2301" s="57"/>
      <c r="B2301" s="51"/>
      <c r="C2301" s="51"/>
      <c r="D2301" s="51"/>
      <c r="E2301" s="51"/>
      <c r="F2301" s="51"/>
    </row>
    <row r="2302" spans="1:6" s="69" customFormat="1" ht="12" customHeight="1" x14ac:dyDescent="0.3">
      <c r="A2302" s="57"/>
      <c r="B2302" s="51"/>
      <c r="C2302" s="51"/>
      <c r="D2302" s="51"/>
      <c r="E2302" s="51"/>
      <c r="F2302" s="51"/>
    </row>
    <row r="2303" spans="1:6" s="69" customFormat="1" ht="12" customHeight="1" x14ac:dyDescent="0.3">
      <c r="A2303" s="57"/>
      <c r="B2303" s="51"/>
      <c r="C2303" s="51"/>
      <c r="D2303" s="51"/>
      <c r="E2303" s="51"/>
      <c r="F2303" s="51"/>
    </row>
    <row r="2304" spans="1:6" s="69" customFormat="1" ht="12" customHeight="1" x14ac:dyDescent="0.3">
      <c r="A2304" s="57"/>
      <c r="B2304" s="51"/>
      <c r="C2304" s="51"/>
      <c r="D2304" s="51"/>
      <c r="E2304" s="51"/>
      <c r="F2304" s="51"/>
    </row>
    <row r="2305" spans="1:6" s="69" customFormat="1" ht="12" customHeight="1" x14ac:dyDescent="0.3">
      <c r="A2305" s="57"/>
      <c r="B2305" s="51"/>
      <c r="C2305" s="51"/>
      <c r="D2305" s="51"/>
      <c r="E2305" s="51"/>
      <c r="F2305" s="51"/>
    </row>
    <row r="2306" spans="1:6" s="69" customFormat="1" ht="12" customHeight="1" x14ac:dyDescent="0.3">
      <c r="A2306" s="57"/>
      <c r="B2306" s="51"/>
      <c r="C2306" s="51"/>
      <c r="D2306" s="51"/>
      <c r="E2306" s="51"/>
      <c r="F2306" s="51"/>
    </row>
    <row r="2307" spans="1:6" s="69" customFormat="1" ht="12" customHeight="1" x14ac:dyDescent="0.3">
      <c r="A2307" s="57"/>
      <c r="B2307" s="51"/>
      <c r="C2307" s="51"/>
      <c r="D2307" s="51"/>
      <c r="E2307" s="51"/>
      <c r="F2307" s="51"/>
    </row>
    <row r="2308" spans="1:6" s="69" customFormat="1" ht="12" customHeight="1" x14ac:dyDescent="0.3">
      <c r="A2308" s="57"/>
      <c r="B2308" s="51"/>
      <c r="C2308" s="51"/>
      <c r="D2308" s="51"/>
      <c r="E2308" s="51"/>
      <c r="F2308" s="51"/>
    </row>
    <row r="2309" spans="1:6" s="69" customFormat="1" ht="12" customHeight="1" x14ac:dyDescent="0.3">
      <c r="A2309" s="57"/>
      <c r="B2309" s="51"/>
      <c r="C2309" s="51"/>
      <c r="D2309" s="51"/>
      <c r="E2309" s="51"/>
      <c r="F2309" s="51"/>
    </row>
    <row r="2310" spans="1:6" s="69" customFormat="1" ht="12" customHeight="1" x14ac:dyDescent="0.3">
      <c r="A2310" s="57"/>
      <c r="B2310" s="51"/>
      <c r="C2310" s="51"/>
      <c r="D2310" s="51"/>
      <c r="E2310" s="51"/>
      <c r="F2310" s="51"/>
    </row>
    <row r="2311" spans="1:6" s="69" customFormat="1" ht="12" customHeight="1" x14ac:dyDescent="0.3">
      <c r="A2311" s="57"/>
      <c r="B2311" s="51"/>
      <c r="C2311" s="51"/>
      <c r="D2311" s="51"/>
      <c r="E2311" s="51"/>
      <c r="F2311" s="51"/>
    </row>
    <row r="2312" spans="1:6" s="69" customFormat="1" ht="12" customHeight="1" x14ac:dyDescent="0.3">
      <c r="A2312" s="57"/>
      <c r="B2312" s="51"/>
      <c r="C2312" s="51"/>
      <c r="D2312" s="51"/>
      <c r="E2312" s="51"/>
      <c r="F2312" s="51"/>
    </row>
    <row r="2313" spans="1:6" s="69" customFormat="1" ht="12" customHeight="1" x14ac:dyDescent="0.3">
      <c r="A2313" s="57"/>
      <c r="B2313" s="51"/>
      <c r="C2313" s="51"/>
      <c r="D2313" s="51"/>
      <c r="E2313" s="51"/>
      <c r="F2313" s="51"/>
    </row>
    <row r="2314" spans="1:6" s="69" customFormat="1" ht="12" customHeight="1" x14ac:dyDescent="0.3">
      <c r="A2314" s="57"/>
      <c r="B2314" s="51"/>
      <c r="C2314" s="51"/>
      <c r="D2314" s="51"/>
      <c r="E2314" s="51"/>
      <c r="F2314" s="51"/>
    </row>
    <row r="2315" spans="1:6" s="69" customFormat="1" ht="12" customHeight="1" x14ac:dyDescent="0.3">
      <c r="A2315" s="57"/>
      <c r="B2315" s="51"/>
      <c r="C2315" s="51"/>
      <c r="D2315" s="51"/>
      <c r="E2315" s="51"/>
      <c r="F2315" s="51"/>
    </row>
    <row r="2316" spans="1:6" s="69" customFormat="1" ht="12" customHeight="1" x14ac:dyDescent="0.3">
      <c r="A2316" s="57"/>
      <c r="B2316" s="51"/>
      <c r="C2316" s="51"/>
      <c r="D2316" s="51"/>
      <c r="E2316" s="51"/>
      <c r="F2316" s="51"/>
    </row>
    <row r="2317" spans="1:6" s="69" customFormat="1" ht="12" customHeight="1" x14ac:dyDescent="0.3">
      <c r="A2317" s="57"/>
      <c r="B2317" s="51"/>
      <c r="C2317" s="51"/>
      <c r="D2317" s="51"/>
      <c r="E2317" s="51"/>
      <c r="F2317" s="51"/>
    </row>
    <row r="2318" spans="1:6" s="69" customFormat="1" ht="12" customHeight="1" x14ac:dyDescent="0.3">
      <c r="A2318" s="57"/>
      <c r="B2318" s="51"/>
      <c r="C2318" s="51"/>
      <c r="D2318" s="51"/>
      <c r="E2318" s="51"/>
      <c r="F2318" s="51"/>
    </row>
    <row r="2319" spans="1:6" s="69" customFormat="1" ht="12" customHeight="1" x14ac:dyDescent="0.3">
      <c r="A2319" s="57"/>
      <c r="B2319" s="51"/>
      <c r="C2319" s="51"/>
      <c r="D2319" s="51"/>
      <c r="E2319" s="51"/>
      <c r="F2319" s="51"/>
    </row>
    <row r="2320" spans="1:6" s="69" customFormat="1" ht="12" customHeight="1" x14ac:dyDescent="0.3">
      <c r="A2320" s="57"/>
      <c r="B2320" s="51"/>
      <c r="C2320" s="51"/>
      <c r="D2320" s="51"/>
      <c r="E2320" s="51"/>
      <c r="F2320" s="51"/>
    </row>
    <row r="2321" spans="1:6" s="69" customFormat="1" ht="12" customHeight="1" x14ac:dyDescent="0.3">
      <c r="A2321" s="57"/>
      <c r="B2321" s="51"/>
      <c r="C2321" s="51"/>
      <c r="D2321" s="51"/>
      <c r="E2321" s="51"/>
      <c r="F2321" s="51"/>
    </row>
    <row r="2322" spans="1:6" s="69" customFormat="1" ht="12" customHeight="1" x14ac:dyDescent="0.3">
      <c r="A2322" s="57"/>
      <c r="B2322" s="51"/>
      <c r="C2322" s="51"/>
      <c r="D2322" s="51"/>
      <c r="E2322" s="51"/>
      <c r="F2322" s="51"/>
    </row>
    <row r="2323" spans="1:6" s="69" customFormat="1" ht="12" customHeight="1" x14ac:dyDescent="0.3">
      <c r="A2323" s="57"/>
      <c r="B2323" s="51"/>
      <c r="C2323" s="51"/>
      <c r="D2323" s="51"/>
      <c r="E2323" s="51"/>
      <c r="F2323" s="51"/>
    </row>
    <row r="2324" spans="1:6" s="69" customFormat="1" ht="12" customHeight="1" x14ac:dyDescent="0.3">
      <c r="A2324" s="57"/>
      <c r="B2324" s="51"/>
      <c r="C2324" s="51"/>
      <c r="D2324" s="51"/>
      <c r="E2324" s="51"/>
      <c r="F2324" s="51"/>
    </row>
    <row r="2325" spans="1:6" s="69" customFormat="1" ht="12" customHeight="1" x14ac:dyDescent="0.3">
      <c r="A2325" s="57"/>
      <c r="B2325" s="51"/>
      <c r="C2325" s="51"/>
      <c r="D2325" s="51"/>
      <c r="E2325" s="51"/>
      <c r="F2325" s="51"/>
    </row>
    <row r="2326" spans="1:6" s="69" customFormat="1" ht="12" customHeight="1" x14ac:dyDescent="0.3">
      <c r="A2326" s="57"/>
      <c r="B2326" s="51"/>
      <c r="C2326" s="51"/>
      <c r="D2326" s="51"/>
      <c r="E2326" s="51"/>
      <c r="F2326" s="51"/>
    </row>
    <row r="2327" spans="1:6" s="69" customFormat="1" ht="12" customHeight="1" x14ac:dyDescent="0.3">
      <c r="A2327" s="57"/>
      <c r="B2327" s="51"/>
      <c r="C2327" s="51"/>
      <c r="D2327" s="51"/>
      <c r="E2327" s="51"/>
      <c r="F2327" s="51"/>
    </row>
    <row r="2328" spans="1:6" s="69" customFormat="1" ht="12" customHeight="1" x14ac:dyDescent="0.3">
      <c r="A2328" s="57"/>
      <c r="B2328" s="51"/>
      <c r="C2328" s="51"/>
      <c r="D2328" s="51"/>
      <c r="E2328" s="51"/>
      <c r="F2328" s="51"/>
    </row>
    <row r="2329" spans="1:6" s="69" customFormat="1" ht="12" customHeight="1" x14ac:dyDescent="0.3">
      <c r="A2329" s="57"/>
      <c r="B2329" s="51"/>
      <c r="C2329" s="51"/>
      <c r="D2329" s="51"/>
      <c r="E2329" s="51"/>
      <c r="F2329" s="51"/>
    </row>
    <row r="2330" spans="1:6" s="69" customFormat="1" ht="12" customHeight="1" x14ac:dyDescent="0.3">
      <c r="A2330" s="57"/>
      <c r="B2330" s="51"/>
      <c r="C2330" s="51"/>
      <c r="D2330" s="51"/>
      <c r="E2330" s="51"/>
      <c r="F2330" s="51"/>
    </row>
    <row r="2331" spans="1:6" s="69" customFormat="1" ht="12" customHeight="1" x14ac:dyDescent="0.3">
      <c r="A2331" s="57"/>
      <c r="B2331" s="51"/>
      <c r="C2331" s="51"/>
      <c r="D2331" s="51"/>
      <c r="E2331" s="51"/>
      <c r="F2331" s="51"/>
    </row>
    <row r="2332" spans="1:6" s="69" customFormat="1" ht="12" customHeight="1" x14ac:dyDescent="0.3">
      <c r="A2332" s="57"/>
      <c r="B2332" s="51"/>
      <c r="C2332" s="51"/>
      <c r="D2332" s="51"/>
      <c r="E2332" s="51"/>
      <c r="F2332" s="51"/>
    </row>
    <row r="2333" spans="1:6" s="69" customFormat="1" ht="12" customHeight="1" x14ac:dyDescent="0.3">
      <c r="A2333" s="57"/>
      <c r="B2333" s="51"/>
      <c r="C2333" s="51"/>
      <c r="D2333" s="51"/>
      <c r="E2333" s="51"/>
      <c r="F2333" s="51"/>
    </row>
    <row r="2334" spans="1:6" s="69" customFormat="1" ht="12" customHeight="1" x14ac:dyDescent="0.3">
      <c r="A2334" s="57"/>
      <c r="B2334" s="51"/>
      <c r="C2334" s="51"/>
      <c r="D2334" s="51"/>
      <c r="E2334" s="51"/>
      <c r="F2334" s="51"/>
    </row>
    <row r="2335" spans="1:6" s="69" customFormat="1" ht="12" customHeight="1" x14ac:dyDescent="0.3">
      <c r="A2335" s="57"/>
      <c r="B2335" s="51"/>
      <c r="C2335" s="51"/>
      <c r="D2335" s="51"/>
      <c r="E2335" s="51"/>
      <c r="F2335" s="51"/>
    </row>
    <row r="2336" spans="1:6" s="69" customFormat="1" ht="12" customHeight="1" x14ac:dyDescent="0.3">
      <c r="A2336" s="57"/>
      <c r="B2336" s="51"/>
      <c r="C2336" s="51"/>
      <c r="D2336" s="51"/>
      <c r="E2336" s="51"/>
      <c r="F2336" s="51"/>
    </row>
    <row r="2337" spans="1:6" s="69" customFormat="1" ht="12" customHeight="1" x14ac:dyDescent="0.3">
      <c r="A2337" s="57"/>
      <c r="B2337" s="51"/>
      <c r="C2337" s="51"/>
      <c r="D2337" s="51"/>
      <c r="E2337" s="51"/>
      <c r="F2337" s="51"/>
    </row>
    <row r="2338" spans="1:6" s="69" customFormat="1" ht="12" customHeight="1" x14ac:dyDescent="0.3">
      <c r="A2338" s="57"/>
      <c r="B2338" s="51"/>
      <c r="C2338" s="51"/>
      <c r="D2338" s="51"/>
      <c r="E2338" s="51"/>
      <c r="F2338" s="51"/>
    </row>
    <row r="2339" spans="1:6" s="69" customFormat="1" ht="12" customHeight="1" x14ac:dyDescent="0.3">
      <c r="A2339" s="57"/>
      <c r="B2339" s="51"/>
      <c r="C2339" s="51"/>
      <c r="D2339" s="51"/>
      <c r="E2339" s="51"/>
      <c r="F2339" s="51"/>
    </row>
    <row r="2340" spans="1:6" s="69" customFormat="1" ht="12" customHeight="1" x14ac:dyDescent="0.3">
      <c r="A2340" s="57"/>
      <c r="B2340" s="51"/>
      <c r="C2340" s="51"/>
      <c r="D2340" s="51"/>
      <c r="E2340" s="51"/>
      <c r="F2340" s="51"/>
    </row>
    <row r="2341" spans="1:6" s="69" customFormat="1" ht="12" customHeight="1" x14ac:dyDescent="0.3">
      <c r="A2341" s="57"/>
      <c r="B2341" s="51"/>
      <c r="C2341" s="51"/>
      <c r="D2341" s="51"/>
      <c r="E2341" s="51"/>
      <c r="F2341" s="51"/>
    </row>
    <row r="2342" spans="1:6" s="69" customFormat="1" ht="12" customHeight="1" x14ac:dyDescent="0.3">
      <c r="A2342" s="57"/>
      <c r="B2342" s="51"/>
      <c r="C2342" s="51"/>
      <c r="D2342" s="51"/>
      <c r="E2342" s="51"/>
      <c r="F2342" s="51"/>
    </row>
    <row r="2343" spans="1:6" s="69" customFormat="1" ht="12" customHeight="1" x14ac:dyDescent="0.3">
      <c r="A2343" s="57"/>
      <c r="B2343" s="51"/>
      <c r="C2343" s="51"/>
      <c r="D2343" s="51"/>
      <c r="E2343" s="51"/>
      <c r="F2343" s="51"/>
    </row>
    <row r="2344" spans="1:6" s="69" customFormat="1" ht="12" customHeight="1" x14ac:dyDescent="0.3">
      <c r="A2344" s="57"/>
      <c r="B2344" s="51"/>
      <c r="C2344" s="51"/>
      <c r="D2344" s="51"/>
      <c r="E2344" s="51"/>
      <c r="F2344" s="51"/>
    </row>
    <row r="2345" spans="1:6" s="69" customFormat="1" ht="12" customHeight="1" x14ac:dyDescent="0.3">
      <c r="A2345" s="57"/>
      <c r="B2345" s="51"/>
      <c r="C2345" s="51"/>
      <c r="D2345" s="51"/>
      <c r="E2345" s="51"/>
      <c r="F2345" s="51"/>
    </row>
    <row r="2346" spans="1:6" s="69" customFormat="1" ht="12" customHeight="1" x14ac:dyDescent="0.3">
      <c r="A2346" s="57"/>
      <c r="B2346" s="51"/>
      <c r="C2346" s="51"/>
      <c r="D2346" s="51"/>
      <c r="E2346" s="51"/>
      <c r="F2346" s="51"/>
    </row>
    <row r="2347" spans="1:6" s="69" customFormat="1" ht="12" customHeight="1" x14ac:dyDescent="0.3">
      <c r="A2347" s="57"/>
      <c r="B2347" s="51"/>
      <c r="C2347" s="51"/>
      <c r="D2347" s="51"/>
      <c r="E2347" s="51"/>
      <c r="F2347" s="51"/>
    </row>
    <row r="2348" spans="1:6" s="69" customFormat="1" ht="12" customHeight="1" x14ac:dyDescent="0.3">
      <c r="A2348" s="57"/>
      <c r="B2348" s="51"/>
      <c r="C2348" s="51"/>
      <c r="D2348" s="51"/>
      <c r="E2348" s="51"/>
      <c r="F2348" s="51"/>
    </row>
    <row r="2349" spans="1:6" s="69" customFormat="1" ht="12" customHeight="1" x14ac:dyDescent="0.3">
      <c r="A2349" s="57"/>
      <c r="B2349" s="51"/>
      <c r="C2349" s="51"/>
      <c r="D2349" s="51"/>
      <c r="E2349" s="51"/>
      <c r="F2349" s="51"/>
    </row>
    <row r="2350" spans="1:6" s="69" customFormat="1" ht="12" customHeight="1" x14ac:dyDescent="0.3">
      <c r="A2350" s="57"/>
      <c r="B2350" s="51"/>
      <c r="C2350" s="51"/>
      <c r="D2350" s="51"/>
      <c r="E2350" s="51"/>
      <c r="F2350" s="51"/>
    </row>
    <row r="2351" spans="1:6" s="69" customFormat="1" ht="12" customHeight="1" x14ac:dyDescent="0.3">
      <c r="A2351" s="57"/>
      <c r="B2351" s="51"/>
      <c r="C2351" s="51"/>
      <c r="D2351" s="51"/>
      <c r="E2351" s="51"/>
      <c r="F2351" s="51"/>
    </row>
    <row r="2352" spans="1:6" s="69" customFormat="1" ht="12" customHeight="1" x14ac:dyDescent="0.3">
      <c r="A2352" s="57"/>
      <c r="B2352" s="51"/>
      <c r="C2352" s="51"/>
      <c r="D2352" s="51"/>
      <c r="E2352" s="51"/>
      <c r="F2352" s="51"/>
    </row>
    <row r="2353" spans="1:6" s="69" customFormat="1" ht="12" customHeight="1" x14ac:dyDescent="0.3">
      <c r="A2353" s="57"/>
      <c r="B2353" s="51"/>
      <c r="C2353" s="51"/>
      <c r="D2353" s="51"/>
      <c r="E2353" s="51"/>
      <c r="F2353" s="51"/>
    </row>
    <row r="2354" spans="1:6" s="69" customFormat="1" ht="12" customHeight="1" x14ac:dyDescent="0.3">
      <c r="A2354" s="57"/>
      <c r="B2354" s="51"/>
      <c r="C2354" s="51"/>
      <c r="D2354" s="51"/>
      <c r="E2354" s="51"/>
      <c r="F2354" s="51"/>
    </row>
    <row r="2355" spans="1:6" s="69" customFormat="1" ht="12" customHeight="1" x14ac:dyDescent="0.3">
      <c r="A2355" s="57"/>
      <c r="B2355" s="51"/>
      <c r="C2355" s="51"/>
      <c r="D2355" s="51"/>
      <c r="E2355" s="51"/>
      <c r="F2355" s="51"/>
    </row>
    <row r="2356" spans="1:6" s="69" customFormat="1" ht="12" customHeight="1" x14ac:dyDescent="0.3">
      <c r="A2356" s="57"/>
      <c r="B2356" s="51"/>
      <c r="C2356" s="51"/>
      <c r="D2356" s="51"/>
      <c r="E2356" s="51"/>
      <c r="F2356" s="51"/>
    </row>
    <row r="2357" spans="1:6" s="69" customFormat="1" ht="12" customHeight="1" x14ac:dyDescent="0.3">
      <c r="A2357" s="57"/>
      <c r="B2357" s="51"/>
      <c r="C2357" s="51"/>
      <c r="D2357" s="51"/>
      <c r="E2357" s="51"/>
      <c r="F2357" s="51"/>
    </row>
    <row r="2358" spans="1:6" s="69" customFormat="1" ht="12" customHeight="1" x14ac:dyDescent="0.3">
      <c r="A2358" s="57"/>
      <c r="B2358" s="51"/>
      <c r="C2358" s="51"/>
      <c r="D2358" s="51"/>
      <c r="E2358" s="51"/>
      <c r="F2358" s="51"/>
    </row>
    <row r="2359" spans="1:6" s="69" customFormat="1" ht="12" customHeight="1" x14ac:dyDescent="0.3">
      <c r="A2359" s="57"/>
      <c r="B2359" s="51"/>
      <c r="C2359" s="51"/>
      <c r="D2359" s="51"/>
      <c r="E2359" s="51"/>
      <c r="F2359" s="51"/>
    </row>
    <row r="2360" spans="1:6" s="69" customFormat="1" ht="12" customHeight="1" x14ac:dyDescent="0.3">
      <c r="A2360" s="57"/>
      <c r="B2360" s="51"/>
      <c r="C2360" s="51"/>
      <c r="D2360" s="51"/>
      <c r="E2360" s="51"/>
      <c r="F2360" s="51"/>
    </row>
    <row r="2361" spans="1:6" s="69" customFormat="1" ht="12" customHeight="1" x14ac:dyDescent="0.3">
      <c r="A2361" s="57"/>
      <c r="B2361" s="51"/>
      <c r="C2361" s="51"/>
      <c r="D2361" s="51"/>
      <c r="E2361" s="51"/>
      <c r="F2361" s="51"/>
    </row>
    <row r="2362" spans="1:6" s="69" customFormat="1" ht="12" customHeight="1" x14ac:dyDescent="0.3">
      <c r="A2362" s="57"/>
      <c r="B2362" s="51"/>
      <c r="C2362" s="51"/>
      <c r="D2362" s="51"/>
      <c r="E2362" s="51"/>
      <c r="F2362" s="51"/>
    </row>
    <row r="2363" spans="1:6" s="69" customFormat="1" ht="12" customHeight="1" x14ac:dyDescent="0.3">
      <c r="A2363" s="57"/>
      <c r="B2363" s="51"/>
      <c r="C2363" s="51"/>
      <c r="D2363" s="51"/>
      <c r="E2363" s="51"/>
      <c r="F2363" s="51"/>
    </row>
    <row r="2364" spans="1:6" s="69" customFormat="1" ht="12" customHeight="1" x14ac:dyDescent="0.3">
      <c r="A2364" s="57"/>
      <c r="B2364" s="51"/>
      <c r="C2364" s="51"/>
      <c r="D2364" s="51"/>
      <c r="E2364" s="51"/>
      <c r="F2364" s="51"/>
    </row>
    <row r="2365" spans="1:6" s="69" customFormat="1" ht="12" customHeight="1" x14ac:dyDescent="0.3">
      <c r="A2365" s="57"/>
      <c r="B2365" s="51"/>
      <c r="C2365" s="51"/>
      <c r="D2365" s="51"/>
      <c r="E2365" s="51"/>
      <c r="F2365" s="51"/>
    </row>
    <row r="2366" spans="1:6" s="69" customFormat="1" ht="12" customHeight="1" x14ac:dyDescent="0.3">
      <c r="A2366" s="57"/>
      <c r="B2366" s="51"/>
      <c r="C2366" s="51"/>
      <c r="D2366" s="51"/>
      <c r="E2366" s="51"/>
      <c r="F2366" s="51"/>
    </row>
    <row r="2367" spans="1:6" s="69" customFormat="1" ht="12" customHeight="1" x14ac:dyDescent="0.3">
      <c r="A2367" s="57"/>
      <c r="B2367" s="51"/>
      <c r="C2367" s="51"/>
      <c r="D2367" s="51"/>
      <c r="E2367" s="51"/>
      <c r="F2367" s="51"/>
    </row>
    <row r="2368" spans="1:6" s="69" customFormat="1" ht="12" customHeight="1" x14ac:dyDescent="0.3">
      <c r="A2368" s="57"/>
      <c r="B2368" s="51"/>
      <c r="C2368" s="51"/>
      <c r="D2368" s="51"/>
      <c r="E2368" s="51"/>
      <c r="F2368" s="51"/>
    </row>
    <row r="2369" spans="1:6" s="69" customFormat="1" ht="12" customHeight="1" x14ac:dyDescent="0.3">
      <c r="A2369" s="57"/>
      <c r="B2369" s="51"/>
      <c r="C2369" s="51"/>
      <c r="D2369" s="51"/>
      <c r="E2369" s="51"/>
      <c r="F2369" s="51"/>
    </row>
    <row r="2370" spans="1:6" s="69" customFormat="1" ht="12" customHeight="1" x14ac:dyDescent="0.3">
      <c r="A2370" s="57"/>
      <c r="B2370" s="51"/>
      <c r="C2370" s="51"/>
      <c r="D2370" s="51"/>
      <c r="E2370" s="51"/>
      <c r="F2370" s="51"/>
    </row>
    <row r="2371" spans="1:6" s="69" customFormat="1" ht="12" customHeight="1" x14ac:dyDescent="0.3">
      <c r="A2371" s="57"/>
      <c r="B2371" s="51"/>
      <c r="C2371" s="51"/>
      <c r="D2371" s="51"/>
      <c r="E2371" s="51"/>
      <c r="F2371" s="51"/>
    </row>
    <row r="2372" spans="1:6" s="69" customFormat="1" ht="12" customHeight="1" x14ac:dyDescent="0.3">
      <c r="A2372" s="57"/>
      <c r="B2372" s="51"/>
      <c r="C2372" s="51"/>
      <c r="D2372" s="51"/>
      <c r="E2372" s="51"/>
      <c r="F2372" s="51"/>
    </row>
    <row r="2373" spans="1:6" s="69" customFormat="1" ht="12" customHeight="1" x14ac:dyDescent="0.3">
      <c r="A2373" s="57"/>
      <c r="B2373" s="51"/>
      <c r="C2373" s="51"/>
      <c r="D2373" s="51"/>
      <c r="E2373" s="51"/>
      <c r="F2373" s="51"/>
    </row>
    <row r="2374" spans="1:6" s="69" customFormat="1" ht="12" customHeight="1" x14ac:dyDescent="0.3">
      <c r="A2374" s="57"/>
      <c r="B2374" s="51"/>
      <c r="C2374" s="51"/>
      <c r="D2374" s="51"/>
      <c r="E2374" s="51"/>
      <c r="F2374" s="51"/>
    </row>
    <row r="2375" spans="1:6" s="69" customFormat="1" ht="12" customHeight="1" x14ac:dyDescent="0.3">
      <c r="A2375" s="57"/>
      <c r="B2375" s="51"/>
      <c r="C2375" s="51"/>
      <c r="D2375" s="51"/>
      <c r="E2375" s="51"/>
      <c r="F2375" s="51"/>
    </row>
    <row r="2376" spans="1:6" s="69" customFormat="1" ht="12" customHeight="1" x14ac:dyDescent="0.3">
      <c r="A2376" s="57"/>
      <c r="B2376" s="51"/>
      <c r="C2376" s="51"/>
      <c r="D2376" s="51"/>
      <c r="E2376" s="51"/>
      <c r="F2376" s="51"/>
    </row>
    <row r="2377" spans="1:6" s="69" customFormat="1" ht="12" customHeight="1" x14ac:dyDescent="0.3">
      <c r="A2377" s="57"/>
      <c r="B2377" s="51"/>
      <c r="C2377" s="51"/>
      <c r="D2377" s="51"/>
      <c r="E2377" s="51"/>
      <c r="F2377" s="51"/>
    </row>
    <row r="2378" spans="1:6" s="69" customFormat="1" ht="12" customHeight="1" x14ac:dyDescent="0.3">
      <c r="A2378" s="57"/>
      <c r="B2378" s="51"/>
      <c r="C2378" s="51"/>
      <c r="D2378" s="51"/>
      <c r="E2378" s="51"/>
      <c r="F2378" s="51"/>
    </row>
    <row r="2379" spans="1:6" s="69" customFormat="1" ht="12" customHeight="1" x14ac:dyDescent="0.3">
      <c r="A2379" s="57"/>
      <c r="B2379" s="51"/>
      <c r="C2379" s="51"/>
      <c r="D2379" s="51"/>
      <c r="E2379" s="51"/>
      <c r="F2379" s="51"/>
    </row>
    <row r="2380" spans="1:6" s="69" customFormat="1" ht="12" customHeight="1" x14ac:dyDescent="0.3">
      <c r="A2380" s="57"/>
      <c r="B2380" s="51"/>
      <c r="C2380" s="51"/>
      <c r="D2380" s="51"/>
      <c r="E2380" s="51"/>
      <c r="F2380" s="51"/>
    </row>
    <row r="2381" spans="1:6" s="69" customFormat="1" ht="12" customHeight="1" x14ac:dyDescent="0.3">
      <c r="A2381" s="57"/>
      <c r="B2381" s="51"/>
      <c r="C2381" s="51"/>
      <c r="D2381" s="51"/>
      <c r="E2381" s="51"/>
      <c r="F2381" s="51"/>
    </row>
    <row r="2382" spans="1:6" s="69" customFormat="1" ht="12" customHeight="1" x14ac:dyDescent="0.3">
      <c r="A2382" s="57"/>
      <c r="B2382" s="51"/>
      <c r="C2382" s="51"/>
      <c r="D2382" s="51"/>
      <c r="E2382" s="51"/>
      <c r="F2382" s="51"/>
    </row>
    <row r="2383" spans="1:6" s="69" customFormat="1" ht="12" customHeight="1" x14ac:dyDescent="0.3">
      <c r="A2383" s="57"/>
      <c r="B2383" s="51"/>
      <c r="C2383" s="51"/>
      <c r="D2383" s="51"/>
      <c r="E2383" s="51"/>
      <c r="F2383" s="51"/>
    </row>
    <row r="2384" spans="1:6" s="69" customFormat="1" ht="12" customHeight="1" x14ac:dyDescent="0.3">
      <c r="A2384" s="57"/>
      <c r="B2384" s="51"/>
      <c r="C2384" s="51"/>
      <c r="D2384" s="51"/>
      <c r="E2384" s="51"/>
      <c r="F2384" s="51"/>
    </row>
    <row r="2385" spans="1:6" s="69" customFormat="1" ht="12" customHeight="1" x14ac:dyDescent="0.3">
      <c r="A2385" s="57"/>
      <c r="B2385" s="51"/>
      <c r="C2385" s="51"/>
      <c r="D2385" s="51"/>
      <c r="E2385" s="51"/>
      <c r="F2385" s="51"/>
    </row>
    <row r="2386" spans="1:6" s="69" customFormat="1" ht="12" customHeight="1" x14ac:dyDescent="0.3">
      <c r="A2386" s="57"/>
      <c r="B2386" s="51"/>
      <c r="C2386" s="51"/>
      <c r="D2386" s="51"/>
      <c r="E2386" s="51"/>
      <c r="F2386" s="51"/>
    </row>
    <row r="2387" spans="1:6" s="69" customFormat="1" ht="12" customHeight="1" x14ac:dyDescent="0.3">
      <c r="A2387" s="57"/>
      <c r="B2387" s="51"/>
      <c r="C2387" s="51"/>
      <c r="D2387" s="51"/>
      <c r="E2387" s="51"/>
      <c r="F2387" s="51"/>
    </row>
    <row r="2388" spans="1:6" s="69" customFormat="1" ht="12" customHeight="1" x14ac:dyDescent="0.3">
      <c r="A2388" s="57"/>
      <c r="B2388" s="51"/>
      <c r="C2388" s="51"/>
      <c r="D2388" s="51"/>
      <c r="E2388" s="51"/>
      <c r="F2388" s="51"/>
    </row>
    <row r="2389" spans="1:6" s="69" customFormat="1" ht="12" customHeight="1" x14ac:dyDescent="0.3">
      <c r="A2389" s="57"/>
      <c r="B2389" s="51"/>
      <c r="C2389" s="51"/>
      <c r="D2389" s="51"/>
      <c r="E2389" s="51"/>
      <c r="F2389" s="51"/>
    </row>
    <row r="2390" spans="1:6" s="69" customFormat="1" ht="12" customHeight="1" x14ac:dyDescent="0.3">
      <c r="A2390" s="57"/>
      <c r="B2390" s="51"/>
      <c r="C2390" s="51"/>
      <c r="D2390" s="51"/>
      <c r="E2390" s="51"/>
      <c r="F2390" s="51"/>
    </row>
    <row r="2391" spans="1:6" s="69" customFormat="1" ht="12" customHeight="1" x14ac:dyDescent="0.3">
      <c r="A2391" s="57"/>
      <c r="B2391" s="51"/>
      <c r="C2391" s="51"/>
      <c r="D2391" s="51"/>
      <c r="E2391" s="51"/>
      <c r="F2391" s="51"/>
    </row>
    <row r="2392" spans="1:6" s="69" customFormat="1" ht="12" customHeight="1" x14ac:dyDescent="0.3">
      <c r="A2392" s="57"/>
      <c r="B2392" s="51"/>
      <c r="C2392" s="51"/>
      <c r="D2392" s="51"/>
      <c r="E2392" s="51"/>
      <c r="F2392" s="51"/>
    </row>
    <row r="2393" spans="1:6" s="69" customFormat="1" ht="12" customHeight="1" x14ac:dyDescent="0.3">
      <c r="A2393" s="57"/>
      <c r="B2393" s="51"/>
      <c r="C2393" s="51"/>
      <c r="D2393" s="51"/>
      <c r="E2393" s="51"/>
      <c r="F2393" s="51"/>
    </row>
    <row r="2394" spans="1:6" s="69" customFormat="1" ht="12" customHeight="1" x14ac:dyDescent="0.3">
      <c r="A2394" s="57"/>
      <c r="B2394" s="51"/>
      <c r="C2394" s="51"/>
      <c r="D2394" s="51"/>
      <c r="E2394" s="51"/>
      <c r="F2394" s="51"/>
    </row>
    <row r="2395" spans="1:6" s="69" customFormat="1" ht="12" customHeight="1" x14ac:dyDescent="0.3">
      <c r="A2395" s="57"/>
      <c r="B2395" s="51"/>
      <c r="C2395" s="51"/>
      <c r="D2395" s="51"/>
      <c r="E2395" s="51"/>
      <c r="F2395" s="51"/>
    </row>
    <row r="2396" spans="1:6" s="69" customFormat="1" ht="12" customHeight="1" x14ac:dyDescent="0.3">
      <c r="A2396" s="57"/>
      <c r="B2396" s="51"/>
      <c r="C2396" s="51"/>
      <c r="D2396" s="51"/>
      <c r="E2396" s="51"/>
      <c r="F2396" s="51"/>
    </row>
    <row r="2397" spans="1:6" s="69" customFormat="1" ht="12" customHeight="1" x14ac:dyDescent="0.3">
      <c r="A2397" s="57"/>
      <c r="B2397" s="51"/>
      <c r="C2397" s="51"/>
      <c r="D2397" s="51"/>
      <c r="E2397" s="51"/>
      <c r="F2397" s="51"/>
    </row>
    <row r="2398" spans="1:6" s="69" customFormat="1" ht="12" customHeight="1" x14ac:dyDescent="0.3">
      <c r="A2398" s="57"/>
      <c r="B2398" s="51"/>
      <c r="C2398" s="51"/>
      <c r="D2398" s="51"/>
      <c r="E2398" s="51"/>
      <c r="F2398" s="51"/>
    </row>
    <row r="2399" spans="1:6" s="69" customFormat="1" ht="12" customHeight="1" x14ac:dyDescent="0.3">
      <c r="A2399" s="57"/>
      <c r="B2399" s="51"/>
      <c r="C2399" s="51"/>
      <c r="D2399" s="51"/>
      <c r="E2399" s="51"/>
      <c r="F2399" s="51"/>
    </row>
    <row r="2400" spans="1:6" s="69" customFormat="1" ht="12" customHeight="1" x14ac:dyDescent="0.3">
      <c r="A2400" s="57"/>
      <c r="B2400" s="51"/>
      <c r="C2400" s="51"/>
      <c r="D2400" s="51"/>
      <c r="E2400" s="51"/>
      <c r="F2400" s="51"/>
    </row>
    <row r="2401" spans="1:6" s="69" customFormat="1" ht="12" customHeight="1" x14ac:dyDescent="0.3">
      <c r="A2401" s="57"/>
      <c r="B2401" s="51"/>
      <c r="C2401" s="51"/>
      <c r="D2401" s="51"/>
      <c r="E2401" s="51"/>
      <c r="F2401" s="51"/>
    </row>
    <row r="2402" spans="1:6" s="69" customFormat="1" ht="12" customHeight="1" x14ac:dyDescent="0.3">
      <c r="A2402" s="57"/>
      <c r="B2402" s="51"/>
      <c r="C2402" s="51"/>
      <c r="D2402" s="51"/>
      <c r="E2402" s="51"/>
      <c r="F2402" s="51"/>
    </row>
    <row r="2403" spans="1:6" s="69" customFormat="1" ht="12" customHeight="1" x14ac:dyDescent="0.3">
      <c r="A2403" s="57"/>
      <c r="B2403" s="51"/>
      <c r="C2403" s="51"/>
      <c r="D2403" s="51"/>
      <c r="E2403" s="51"/>
      <c r="F2403" s="51"/>
    </row>
    <row r="2404" spans="1:6" s="69" customFormat="1" ht="12" customHeight="1" x14ac:dyDescent="0.3">
      <c r="A2404" s="57"/>
      <c r="B2404" s="51"/>
      <c r="C2404" s="51"/>
      <c r="D2404" s="51"/>
      <c r="E2404" s="51"/>
      <c r="F2404" s="51"/>
    </row>
    <row r="2405" spans="1:6" s="69" customFormat="1" ht="12" customHeight="1" x14ac:dyDescent="0.3">
      <c r="A2405" s="57"/>
      <c r="B2405" s="51"/>
      <c r="C2405" s="51"/>
      <c r="D2405" s="51"/>
      <c r="E2405" s="51"/>
      <c r="F2405" s="51"/>
    </row>
    <row r="2406" spans="1:6" s="69" customFormat="1" ht="12" customHeight="1" x14ac:dyDescent="0.3">
      <c r="A2406" s="57"/>
      <c r="B2406" s="51"/>
      <c r="C2406" s="51"/>
      <c r="D2406" s="51"/>
      <c r="E2406" s="51"/>
      <c r="F2406" s="51"/>
    </row>
    <row r="2407" spans="1:6" s="69" customFormat="1" ht="12" customHeight="1" x14ac:dyDescent="0.3">
      <c r="A2407" s="57"/>
      <c r="B2407" s="51"/>
      <c r="C2407" s="51"/>
      <c r="D2407" s="51"/>
      <c r="E2407" s="51"/>
      <c r="F2407" s="51"/>
    </row>
    <row r="2408" spans="1:6" s="69" customFormat="1" ht="12" customHeight="1" x14ac:dyDescent="0.3">
      <c r="A2408" s="57"/>
      <c r="B2408" s="51"/>
      <c r="C2408" s="51"/>
      <c r="D2408" s="51"/>
      <c r="E2408" s="51"/>
      <c r="F2408" s="51"/>
    </row>
    <row r="2409" spans="1:6" s="69" customFormat="1" ht="12" customHeight="1" x14ac:dyDescent="0.3">
      <c r="A2409" s="57"/>
      <c r="B2409" s="51"/>
      <c r="C2409" s="51"/>
      <c r="D2409" s="51"/>
      <c r="E2409" s="51"/>
      <c r="F2409" s="51"/>
    </row>
    <row r="2410" spans="1:6" s="69" customFormat="1" ht="12" customHeight="1" x14ac:dyDescent="0.3">
      <c r="A2410" s="57"/>
      <c r="B2410" s="51"/>
      <c r="C2410" s="51"/>
      <c r="D2410" s="51"/>
      <c r="E2410" s="51"/>
      <c r="F2410" s="51"/>
    </row>
    <row r="2411" spans="1:6" s="69" customFormat="1" ht="12" customHeight="1" x14ac:dyDescent="0.3">
      <c r="A2411" s="57"/>
      <c r="B2411" s="51"/>
      <c r="C2411" s="51"/>
      <c r="D2411" s="51"/>
      <c r="E2411" s="51"/>
      <c r="F2411" s="51"/>
    </row>
    <row r="2412" spans="1:6" s="69" customFormat="1" ht="12" customHeight="1" x14ac:dyDescent="0.3">
      <c r="A2412" s="57"/>
      <c r="B2412" s="51"/>
      <c r="C2412" s="51"/>
      <c r="D2412" s="51"/>
      <c r="E2412" s="51"/>
      <c r="F2412" s="51"/>
    </row>
    <row r="2413" spans="1:6" s="69" customFormat="1" ht="12" customHeight="1" x14ac:dyDescent="0.3">
      <c r="A2413" s="57"/>
      <c r="B2413" s="51"/>
      <c r="C2413" s="51"/>
      <c r="D2413" s="51"/>
      <c r="E2413" s="51"/>
      <c r="F2413" s="51"/>
    </row>
    <row r="2414" spans="1:6" s="69" customFormat="1" ht="12" customHeight="1" x14ac:dyDescent="0.3">
      <c r="A2414" s="57"/>
      <c r="B2414" s="51"/>
      <c r="C2414" s="51"/>
      <c r="D2414" s="51"/>
      <c r="E2414" s="51"/>
      <c r="F2414" s="51"/>
    </row>
    <row r="2415" spans="1:6" s="69" customFormat="1" ht="12" customHeight="1" x14ac:dyDescent="0.3">
      <c r="A2415" s="57"/>
      <c r="B2415" s="51"/>
      <c r="C2415" s="51"/>
      <c r="D2415" s="51"/>
      <c r="E2415" s="51"/>
      <c r="F2415" s="51"/>
    </row>
    <row r="2416" spans="1:6" s="69" customFormat="1" ht="12" customHeight="1" x14ac:dyDescent="0.3">
      <c r="A2416" s="57"/>
      <c r="B2416" s="51"/>
      <c r="C2416" s="51"/>
      <c r="D2416" s="51"/>
      <c r="E2416" s="51"/>
      <c r="F2416" s="51"/>
    </row>
    <row r="2417" spans="1:6" s="69" customFormat="1" ht="12" customHeight="1" x14ac:dyDescent="0.3">
      <c r="A2417" s="57"/>
      <c r="B2417" s="51"/>
      <c r="C2417" s="51"/>
      <c r="D2417" s="51"/>
      <c r="E2417" s="51"/>
      <c r="F2417" s="51"/>
    </row>
    <row r="2418" spans="1:6" s="69" customFormat="1" ht="12" customHeight="1" x14ac:dyDescent="0.3">
      <c r="A2418" s="57"/>
      <c r="B2418" s="51"/>
      <c r="C2418" s="51"/>
      <c r="D2418" s="51"/>
      <c r="E2418" s="51"/>
      <c r="F2418" s="51"/>
    </row>
    <row r="2419" spans="1:6" s="69" customFormat="1" ht="12" customHeight="1" x14ac:dyDescent="0.3">
      <c r="A2419" s="57"/>
      <c r="B2419" s="51"/>
      <c r="C2419" s="51"/>
      <c r="D2419" s="51"/>
      <c r="E2419" s="51"/>
      <c r="F2419" s="51"/>
    </row>
    <row r="2420" spans="1:6" s="69" customFormat="1" ht="12" customHeight="1" x14ac:dyDescent="0.3">
      <c r="A2420" s="57"/>
      <c r="B2420" s="51"/>
      <c r="C2420" s="51"/>
      <c r="D2420" s="51"/>
      <c r="E2420" s="51"/>
      <c r="F2420" s="51"/>
    </row>
    <row r="2421" spans="1:6" s="69" customFormat="1" ht="12" customHeight="1" x14ac:dyDescent="0.3">
      <c r="A2421" s="57"/>
      <c r="B2421" s="51"/>
      <c r="C2421" s="51"/>
      <c r="D2421" s="51"/>
      <c r="E2421" s="51"/>
      <c r="F2421" s="51"/>
    </row>
    <row r="2422" spans="1:6" s="69" customFormat="1" ht="12" customHeight="1" x14ac:dyDescent="0.3">
      <c r="A2422" s="57"/>
      <c r="B2422" s="51"/>
      <c r="C2422" s="51"/>
      <c r="D2422" s="51"/>
      <c r="E2422" s="51"/>
      <c r="F2422" s="51"/>
    </row>
    <row r="2423" spans="1:6" s="69" customFormat="1" ht="12" customHeight="1" x14ac:dyDescent="0.3">
      <c r="A2423" s="57"/>
      <c r="B2423" s="51"/>
      <c r="C2423" s="51"/>
      <c r="D2423" s="51"/>
      <c r="E2423" s="51"/>
      <c r="F2423" s="51"/>
    </row>
    <row r="2424" spans="1:6" s="69" customFormat="1" ht="12" customHeight="1" x14ac:dyDescent="0.3">
      <c r="A2424" s="57"/>
      <c r="B2424" s="51"/>
      <c r="C2424" s="51"/>
      <c r="D2424" s="51"/>
      <c r="E2424" s="51"/>
      <c r="F2424" s="51"/>
    </row>
    <row r="2425" spans="1:6" s="69" customFormat="1" ht="12" customHeight="1" x14ac:dyDescent="0.3">
      <c r="A2425" s="57"/>
      <c r="B2425" s="51"/>
      <c r="C2425" s="51"/>
      <c r="D2425" s="51"/>
      <c r="E2425" s="51"/>
      <c r="F2425" s="51"/>
    </row>
    <row r="2426" spans="1:6" s="69" customFormat="1" ht="12" customHeight="1" x14ac:dyDescent="0.3">
      <c r="A2426" s="57"/>
      <c r="B2426" s="51"/>
      <c r="C2426" s="51"/>
      <c r="D2426" s="51"/>
      <c r="E2426" s="51"/>
      <c r="F2426" s="51"/>
    </row>
    <row r="2427" spans="1:6" s="69" customFormat="1" ht="12" customHeight="1" x14ac:dyDescent="0.3">
      <c r="A2427" s="57"/>
      <c r="B2427" s="51"/>
      <c r="C2427" s="51"/>
      <c r="D2427" s="51"/>
      <c r="E2427" s="51"/>
      <c r="F2427" s="51"/>
    </row>
    <row r="2428" spans="1:6" s="69" customFormat="1" ht="12" customHeight="1" x14ac:dyDescent="0.3">
      <c r="A2428" s="57"/>
      <c r="B2428" s="51"/>
      <c r="C2428" s="51"/>
      <c r="D2428" s="51"/>
      <c r="E2428" s="51"/>
      <c r="F2428" s="51"/>
    </row>
    <row r="2429" spans="1:6" s="69" customFormat="1" ht="12" customHeight="1" x14ac:dyDescent="0.3">
      <c r="A2429" s="57"/>
      <c r="B2429" s="51"/>
      <c r="C2429" s="51"/>
      <c r="D2429" s="51"/>
      <c r="E2429" s="51"/>
      <c r="F2429" s="51"/>
    </row>
    <row r="2430" spans="1:6" s="69" customFormat="1" ht="12" customHeight="1" x14ac:dyDescent="0.3">
      <c r="A2430" s="57"/>
      <c r="B2430" s="51"/>
      <c r="C2430" s="51"/>
      <c r="D2430" s="51"/>
      <c r="E2430" s="51"/>
      <c r="F2430" s="51"/>
    </row>
    <row r="2431" spans="1:6" s="69" customFormat="1" ht="12" customHeight="1" x14ac:dyDescent="0.3">
      <c r="A2431" s="57"/>
      <c r="B2431" s="51"/>
      <c r="C2431" s="51"/>
      <c r="D2431" s="51"/>
      <c r="E2431" s="51"/>
      <c r="F2431" s="51"/>
    </row>
    <row r="2432" spans="1:6" s="69" customFormat="1" ht="12" customHeight="1" x14ac:dyDescent="0.3">
      <c r="A2432" s="57"/>
      <c r="B2432" s="51"/>
      <c r="C2432" s="51"/>
      <c r="D2432" s="51"/>
      <c r="E2432" s="51"/>
      <c r="F2432" s="51"/>
    </row>
    <row r="2433" spans="1:6" s="69" customFormat="1" ht="12" customHeight="1" x14ac:dyDescent="0.3">
      <c r="A2433" s="57"/>
      <c r="B2433" s="51"/>
      <c r="C2433" s="51"/>
      <c r="D2433" s="51"/>
      <c r="E2433" s="51"/>
      <c r="F2433" s="51"/>
    </row>
    <row r="2434" spans="1:6" s="69" customFormat="1" ht="12" customHeight="1" x14ac:dyDescent="0.3">
      <c r="A2434" s="57"/>
      <c r="B2434" s="51"/>
      <c r="C2434" s="51"/>
      <c r="D2434" s="51"/>
      <c r="E2434" s="51"/>
      <c r="F2434" s="51"/>
    </row>
    <row r="2435" spans="1:6" s="69" customFormat="1" ht="12" customHeight="1" x14ac:dyDescent="0.3">
      <c r="A2435" s="57"/>
      <c r="B2435" s="51"/>
      <c r="C2435" s="51"/>
      <c r="D2435" s="51"/>
      <c r="E2435" s="51"/>
      <c r="F2435" s="51"/>
    </row>
    <row r="2436" spans="1:6" s="69" customFormat="1" ht="12" customHeight="1" x14ac:dyDescent="0.3">
      <c r="A2436" s="57"/>
      <c r="B2436" s="51"/>
      <c r="C2436" s="51"/>
      <c r="D2436" s="51"/>
      <c r="E2436" s="51"/>
      <c r="F2436" s="51"/>
    </row>
    <row r="2437" spans="1:6" s="69" customFormat="1" ht="12" customHeight="1" x14ac:dyDescent="0.3">
      <c r="A2437" s="57"/>
      <c r="B2437" s="51"/>
      <c r="C2437" s="51"/>
      <c r="D2437" s="51"/>
      <c r="E2437" s="51"/>
      <c r="F2437" s="51"/>
    </row>
    <row r="2438" spans="1:6" s="69" customFormat="1" ht="12" customHeight="1" x14ac:dyDescent="0.3">
      <c r="A2438" s="57"/>
      <c r="B2438" s="51"/>
      <c r="C2438" s="51"/>
      <c r="D2438" s="51"/>
      <c r="E2438" s="51"/>
      <c r="F2438" s="51"/>
    </row>
    <row r="2439" spans="1:6" s="69" customFormat="1" ht="12" customHeight="1" x14ac:dyDescent="0.3">
      <c r="A2439" s="57"/>
      <c r="B2439" s="51"/>
      <c r="C2439" s="51"/>
      <c r="D2439" s="51"/>
      <c r="E2439" s="51"/>
      <c r="F2439" s="51"/>
    </row>
    <row r="2440" spans="1:6" s="69" customFormat="1" ht="12" customHeight="1" x14ac:dyDescent="0.3">
      <c r="A2440" s="57"/>
      <c r="B2440" s="51"/>
      <c r="C2440" s="51"/>
      <c r="D2440" s="51"/>
      <c r="E2440" s="51"/>
      <c r="F2440" s="51"/>
    </row>
    <row r="2441" spans="1:6" s="69" customFormat="1" ht="12" customHeight="1" x14ac:dyDescent="0.3">
      <c r="A2441" s="57"/>
      <c r="B2441" s="51"/>
      <c r="C2441" s="51"/>
      <c r="D2441" s="51"/>
      <c r="E2441" s="51"/>
      <c r="F2441" s="51"/>
    </row>
    <row r="2442" spans="1:6" s="69" customFormat="1" ht="12" customHeight="1" x14ac:dyDescent="0.3">
      <c r="A2442" s="57"/>
      <c r="B2442" s="51"/>
      <c r="C2442" s="51"/>
      <c r="D2442" s="51"/>
      <c r="E2442" s="51"/>
      <c r="F2442" s="51"/>
    </row>
    <row r="2443" spans="1:6" s="69" customFormat="1" ht="12" customHeight="1" x14ac:dyDescent="0.3">
      <c r="A2443" s="57"/>
      <c r="B2443" s="51"/>
      <c r="C2443" s="51"/>
      <c r="D2443" s="51"/>
      <c r="E2443" s="51"/>
      <c r="F2443" s="51"/>
    </row>
    <row r="2444" spans="1:6" s="69" customFormat="1" ht="12" customHeight="1" x14ac:dyDescent="0.3">
      <c r="A2444" s="57"/>
      <c r="B2444" s="51"/>
      <c r="C2444" s="51"/>
      <c r="D2444" s="51"/>
      <c r="E2444" s="51"/>
      <c r="F2444" s="51"/>
    </row>
    <row r="2445" spans="1:6" s="69" customFormat="1" ht="12" customHeight="1" x14ac:dyDescent="0.3">
      <c r="A2445" s="57"/>
      <c r="B2445" s="51"/>
      <c r="C2445" s="51"/>
      <c r="D2445" s="51"/>
      <c r="E2445" s="51"/>
      <c r="F2445" s="51"/>
    </row>
    <row r="2446" spans="1:6" s="69" customFormat="1" ht="12" customHeight="1" x14ac:dyDescent="0.3">
      <c r="A2446" s="57"/>
      <c r="B2446" s="51"/>
      <c r="C2446" s="51"/>
      <c r="D2446" s="51"/>
      <c r="E2446" s="51"/>
      <c r="F2446" s="51"/>
    </row>
    <row r="2447" spans="1:6" s="69" customFormat="1" ht="12" customHeight="1" x14ac:dyDescent="0.3">
      <c r="A2447" s="57"/>
      <c r="B2447" s="51"/>
      <c r="C2447" s="51"/>
      <c r="D2447" s="51"/>
      <c r="E2447" s="51"/>
      <c r="F2447" s="51"/>
    </row>
    <row r="2448" spans="1:6" s="69" customFormat="1" ht="12" customHeight="1" x14ac:dyDescent="0.3">
      <c r="A2448" s="57"/>
      <c r="B2448" s="51"/>
      <c r="C2448" s="51"/>
      <c r="D2448" s="51"/>
      <c r="E2448" s="51"/>
      <c r="F2448" s="51"/>
    </row>
    <row r="2449" spans="1:6" s="69" customFormat="1" ht="12" customHeight="1" x14ac:dyDescent="0.3">
      <c r="A2449" s="57"/>
      <c r="B2449" s="51"/>
      <c r="C2449" s="51"/>
      <c r="D2449" s="51"/>
      <c r="E2449" s="51"/>
      <c r="F2449" s="51"/>
    </row>
    <row r="2450" spans="1:6" s="69" customFormat="1" ht="12" customHeight="1" x14ac:dyDescent="0.3">
      <c r="A2450" s="57"/>
      <c r="B2450" s="51"/>
      <c r="C2450" s="51"/>
      <c r="D2450" s="51"/>
      <c r="E2450" s="51"/>
      <c r="F2450" s="51"/>
    </row>
    <row r="2451" spans="1:6" s="69" customFormat="1" ht="12" customHeight="1" x14ac:dyDescent="0.3">
      <c r="A2451" s="57"/>
      <c r="B2451" s="51"/>
      <c r="C2451" s="51"/>
      <c r="D2451" s="51"/>
      <c r="E2451" s="51"/>
      <c r="F2451" s="51"/>
    </row>
    <row r="2452" spans="1:6" s="69" customFormat="1" ht="12" customHeight="1" x14ac:dyDescent="0.3">
      <c r="A2452" s="57"/>
      <c r="B2452" s="51"/>
      <c r="C2452" s="51"/>
      <c r="D2452" s="51"/>
      <c r="E2452" s="51"/>
      <c r="F2452" s="51"/>
    </row>
    <row r="2453" spans="1:6" s="69" customFormat="1" ht="12" customHeight="1" x14ac:dyDescent="0.3">
      <c r="A2453" s="57"/>
      <c r="B2453" s="51"/>
      <c r="C2453" s="51"/>
      <c r="D2453" s="51"/>
      <c r="E2453" s="51"/>
      <c r="F2453" s="51"/>
    </row>
    <row r="2454" spans="1:6" s="69" customFormat="1" ht="12" customHeight="1" x14ac:dyDescent="0.3">
      <c r="A2454" s="57"/>
      <c r="B2454" s="51"/>
      <c r="C2454" s="51"/>
      <c r="D2454" s="51"/>
      <c r="E2454" s="51"/>
      <c r="F2454" s="51"/>
    </row>
    <row r="2455" spans="1:6" s="69" customFormat="1" ht="12" customHeight="1" x14ac:dyDescent="0.3">
      <c r="A2455" s="57"/>
      <c r="B2455" s="51"/>
      <c r="C2455" s="51"/>
      <c r="D2455" s="51"/>
      <c r="E2455" s="51"/>
      <c r="F2455" s="51"/>
    </row>
    <row r="2456" spans="1:6" s="69" customFormat="1" ht="12" customHeight="1" x14ac:dyDescent="0.3">
      <c r="A2456" s="57"/>
      <c r="B2456" s="51"/>
      <c r="C2456" s="51"/>
      <c r="D2456" s="51"/>
      <c r="E2456" s="51"/>
      <c r="F2456" s="51"/>
    </row>
    <row r="2457" spans="1:6" s="69" customFormat="1" ht="12" customHeight="1" x14ac:dyDescent="0.3">
      <c r="A2457" s="57"/>
      <c r="B2457" s="51"/>
      <c r="C2457" s="51"/>
      <c r="D2457" s="51"/>
      <c r="E2457" s="51"/>
      <c r="F2457" s="51"/>
    </row>
    <row r="2458" spans="1:6" s="69" customFormat="1" ht="12" customHeight="1" x14ac:dyDescent="0.3">
      <c r="A2458" s="57"/>
      <c r="B2458" s="51"/>
      <c r="C2458" s="51"/>
      <c r="D2458" s="51"/>
      <c r="E2458" s="51"/>
      <c r="F2458" s="51"/>
    </row>
    <row r="2459" spans="1:6" s="69" customFormat="1" ht="12" customHeight="1" x14ac:dyDescent="0.3">
      <c r="A2459" s="57"/>
      <c r="B2459" s="51"/>
      <c r="C2459" s="51"/>
      <c r="D2459" s="51"/>
      <c r="E2459" s="51"/>
      <c r="F2459" s="51"/>
    </row>
    <row r="2460" spans="1:6" s="69" customFormat="1" ht="12" customHeight="1" x14ac:dyDescent="0.3">
      <c r="A2460" s="57"/>
      <c r="B2460" s="51"/>
      <c r="C2460" s="51"/>
      <c r="D2460" s="51"/>
      <c r="E2460" s="51"/>
      <c r="F2460" s="51"/>
    </row>
    <row r="2461" spans="1:6" s="69" customFormat="1" ht="12" customHeight="1" x14ac:dyDescent="0.3">
      <c r="A2461" s="57"/>
      <c r="B2461" s="51"/>
      <c r="C2461" s="51"/>
      <c r="D2461" s="51"/>
      <c r="E2461" s="51"/>
      <c r="F2461" s="51"/>
    </row>
    <row r="2462" spans="1:6" s="69" customFormat="1" ht="12" customHeight="1" x14ac:dyDescent="0.3">
      <c r="A2462" s="57"/>
      <c r="B2462" s="51"/>
      <c r="C2462" s="51"/>
      <c r="D2462" s="51"/>
      <c r="E2462" s="51"/>
      <c r="F2462" s="51"/>
    </row>
    <row r="2463" spans="1:6" s="69" customFormat="1" ht="12" customHeight="1" x14ac:dyDescent="0.3">
      <c r="A2463" s="57"/>
      <c r="B2463" s="51"/>
      <c r="C2463" s="51"/>
      <c r="D2463" s="51"/>
      <c r="E2463" s="51"/>
      <c r="F2463" s="51"/>
    </row>
  </sheetData>
  <printOptions gridLines="1"/>
  <pageMargins left="0.93" right="0.18" top="1.08" bottom="0.68" header="0.28000000000000003" footer="0.25"/>
  <pageSetup orientation="portrait" r:id="rId1"/>
  <headerFooter alignWithMargins="0">
    <oddHeader xml:space="preserve">&amp;CJames Irwin Charter Schools
2017-2018 Budget Draft #1
January 31, 2017
</oddHeader>
    <oddFooter>&amp;L&amp;D&amp;T&amp;R&amp;P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9"/>
  <sheetViews>
    <sheetView zoomScale="95" zoomScaleNormal="95" workbookViewId="0">
      <pane ySplit="4" topLeftCell="A41" activePane="bottomLeft" state="frozen"/>
      <selection pane="bottomLeft" activeCell="B2" sqref="B2"/>
    </sheetView>
  </sheetViews>
  <sheetFormatPr defaultColWidth="9.109375" defaultRowHeight="12.6" customHeight="1" x14ac:dyDescent="0.3"/>
  <cols>
    <col min="1" max="1" width="35" style="75" customWidth="1"/>
    <col min="2" max="3" width="13.5546875" style="64" customWidth="1"/>
    <col min="4" max="4" width="12.88671875" style="64" customWidth="1"/>
    <col min="5" max="5" width="13.109375" style="64" hidden="1" customWidth="1"/>
    <col min="6" max="6" width="0.6640625" style="64" hidden="1" customWidth="1"/>
    <col min="7" max="7" width="23.88671875" style="64" customWidth="1"/>
    <col min="8" max="16384" width="9.109375" style="64"/>
  </cols>
  <sheetData>
    <row r="1" spans="1:48" s="46" customFormat="1" ht="15.75" customHeight="1" x14ac:dyDescent="0.3">
      <c r="A1" s="71" t="s">
        <v>251</v>
      </c>
      <c r="B1" s="119">
        <v>309</v>
      </c>
      <c r="C1" s="119">
        <v>309</v>
      </c>
      <c r="D1" s="119" t="s">
        <v>269</v>
      </c>
      <c r="E1" s="119">
        <v>305</v>
      </c>
      <c r="F1" s="119">
        <v>291.83999999999997</v>
      </c>
      <c r="G1" s="46">
        <v>314</v>
      </c>
    </row>
    <row r="2" spans="1:48" s="44" customFormat="1" ht="16.5" customHeight="1" x14ac:dyDescent="0.3">
      <c r="A2" s="70" t="s">
        <v>252</v>
      </c>
      <c r="B2" s="119" t="e">
        <f>'JICA detail'!#REF!</f>
        <v>#REF!</v>
      </c>
      <c r="C2" s="177">
        <v>7220</v>
      </c>
      <c r="D2" s="177">
        <v>7220</v>
      </c>
      <c r="E2" s="177">
        <v>7196.96</v>
      </c>
      <c r="F2" s="177">
        <v>7196.96</v>
      </c>
    </row>
    <row r="3" spans="1:48" s="44" customFormat="1" ht="16.5" customHeight="1" x14ac:dyDescent="0.3">
      <c r="A3" s="70" t="s">
        <v>22</v>
      </c>
      <c r="B3" s="119" t="e">
        <f>'JICA detail'!#REF!</f>
        <v>#REF!</v>
      </c>
      <c r="C3" s="178">
        <v>250</v>
      </c>
      <c r="D3" s="178">
        <v>250</v>
      </c>
      <c r="E3" s="178">
        <v>250</v>
      </c>
      <c r="F3" s="178">
        <v>250</v>
      </c>
    </row>
    <row r="4" spans="1:48" s="44" customFormat="1" ht="30.75" customHeight="1" thickBot="1" x14ac:dyDescent="0.35">
      <c r="A4" s="72"/>
      <c r="B4" s="187" t="s">
        <v>429</v>
      </c>
      <c r="C4" s="187" t="s">
        <v>424</v>
      </c>
      <c r="D4" s="187" t="s">
        <v>423</v>
      </c>
      <c r="E4" s="187" t="s">
        <v>325</v>
      </c>
      <c r="F4" s="187" t="s">
        <v>306</v>
      </c>
    </row>
    <row r="5" spans="1:48" s="154" customFormat="1" ht="12" customHeight="1" x14ac:dyDescent="0.3">
      <c r="A5" s="236" t="s">
        <v>16</v>
      </c>
      <c r="B5" s="237"/>
      <c r="C5" s="237"/>
      <c r="D5" s="237"/>
      <c r="E5" s="156"/>
      <c r="F5" s="156"/>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row>
    <row r="6" spans="1:48" ht="12" customHeight="1" x14ac:dyDescent="0.3">
      <c r="A6" s="74" t="s">
        <v>26</v>
      </c>
    </row>
    <row r="7" spans="1:48" ht="12" customHeight="1" x14ac:dyDescent="0.3">
      <c r="A7" s="75" t="s">
        <v>17</v>
      </c>
      <c r="B7" s="64" t="e">
        <f>+'JICA detail'!#REF!+'JICA detail'!#REF!+'JICA detail'!#REF!</f>
        <v>#REF!</v>
      </c>
      <c r="C7" s="64">
        <f>+'JICA detail'!C7+'JICA detail'!C8+'JICA detail'!C9</f>
        <v>34869</v>
      </c>
      <c r="D7" s="64">
        <f>+'JICA detail'!D7+'JICA detail'!D8+'JICA detail'!D9</f>
        <v>33631</v>
      </c>
      <c r="E7" s="64">
        <v>9905</v>
      </c>
      <c r="F7" s="64">
        <v>11106</v>
      </c>
    </row>
    <row r="8" spans="1:48" ht="12" customHeight="1" x14ac:dyDescent="0.3">
      <c r="A8" s="75" t="s">
        <v>347</v>
      </c>
      <c r="B8" s="64" t="e">
        <f>+'JICA detail'!#REF!+'JICA detail'!#REF!</f>
        <v>#REF!</v>
      </c>
      <c r="C8" s="64">
        <f>+'JICA detail'!C10+'JICA detail'!C11</f>
        <v>5991</v>
      </c>
      <c r="D8" s="64">
        <f>+'JICA detail'!D10+'JICA detail'!D11</f>
        <v>5601</v>
      </c>
      <c r="E8" s="64">
        <v>0</v>
      </c>
      <c r="F8" s="64">
        <v>5667</v>
      </c>
      <c r="G8" s="64" t="s">
        <v>15</v>
      </c>
    </row>
    <row r="9" spans="1:48" ht="15.75" customHeight="1" x14ac:dyDescent="0.3">
      <c r="A9" s="75" t="s">
        <v>393</v>
      </c>
      <c r="B9" s="76" t="e">
        <f>+'JICA detail'!#REF!+'JICA detail'!#REF!+'JICA detail'!#REF!+'JICA detail'!#REF!+'JICA detail'!#REF!+'JICA detail'!#REF!</f>
        <v>#REF!</v>
      </c>
      <c r="C9" s="76">
        <f>+'JICA detail'!C12+'JICA detail'!C13+'JICA detail'!C14+'JICA detail'!C15+'JICA detail'!C16+'JICA detail'!C20</f>
        <v>81381</v>
      </c>
      <c r="D9" s="76">
        <f>+'JICA detail'!D12+'JICA detail'!D13+'JICA detail'!D14+'JICA detail'!D15+'JICA detail'!D16+'JICA detail'!D20</f>
        <v>79931</v>
      </c>
      <c r="E9" s="76">
        <v>20777</v>
      </c>
      <c r="F9" s="76">
        <v>22832</v>
      </c>
    </row>
    <row r="10" spans="1:48" ht="15.75" customHeight="1" x14ac:dyDescent="0.3">
      <c r="A10" s="75" t="s">
        <v>394</v>
      </c>
      <c r="B10" s="76" t="e">
        <f>+'JICA detail'!#REF!</f>
        <v>#REF!</v>
      </c>
      <c r="C10" s="76">
        <f>+'JICA detail'!C19</f>
        <v>52611</v>
      </c>
      <c r="D10" s="76">
        <f>+'JICA detail'!D19</f>
        <v>48511</v>
      </c>
      <c r="E10" s="76">
        <v>27631</v>
      </c>
      <c r="F10" s="76">
        <v>27631</v>
      </c>
    </row>
    <row r="11" spans="1:48" ht="12" customHeight="1" x14ac:dyDescent="0.3">
      <c r="A11" s="75" t="s">
        <v>22</v>
      </c>
      <c r="B11" s="77" t="e">
        <f>+'JICA detail'!#REF!</f>
        <v>#REF!</v>
      </c>
      <c r="C11" s="77">
        <f>+'JICA detail'!C17</f>
        <v>80527</v>
      </c>
      <c r="D11" s="77">
        <f>+'JICA detail'!D17</f>
        <v>78429.119999999995</v>
      </c>
      <c r="E11" s="77">
        <v>78429.119999999995</v>
      </c>
      <c r="F11" s="77">
        <v>75454</v>
      </c>
    </row>
    <row r="12" spans="1:48" ht="14.4" x14ac:dyDescent="0.3">
      <c r="A12" s="75" t="s">
        <v>18</v>
      </c>
      <c r="B12" s="63" t="e">
        <f>+'JICA detail'!#REF!</f>
        <v>#REF!</v>
      </c>
      <c r="C12" s="63">
        <f>+'JICA detail'!C18</f>
        <v>2239632</v>
      </c>
      <c r="D12" s="63">
        <f>+'JICA detail'!D18</f>
        <v>2230980</v>
      </c>
      <c r="E12" s="58">
        <v>2195073</v>
      </c>
      <c r="F12" s="58">
        <v>2072811</v>
      </c>
    </row>
    <row r="13" spans="1:48" s="46" customFormat="1" ht="18" customHeight="1" x14ac:dyDescent="0.3">
      <c r="A13" s="74" t="s">
        <v>49</v>
      </c>
      <c r="B13" s="46" t="e">
        <f>SUM(B7:B12)</f>
        <v>#REF!</v>
      </c>
      <c r="C13" s="46">
        <f>SUM(C7:C12)</f>
        <v>2495011</v>
      </c>
      <c r="D13" s="46">
        <f>SUM(D7:D12)</f>
        <v>2477083.12</v>
      </c>
      <c r="E13" s="46">
        <f>SUM(E6:E12)</f>
        <v>2331815.12</v>
      </c>
      <c r="F13" s="46">
        <f>SUM(F7:F12)</f>
        <v>2215501</v>
      </c>
    </row>
    <row r="14" spans="1:48" ht="9.75" customHeight="1" x14ac:dyDescent="0.3"/>
    <row r="15" spans="1:48" s="155" customFormat="1" ht="12" customHeight="1" x14ac:dyDescent="0.3">
      <c r="A15" s="236" t="s">
        <v>19</v>
      </c>
      <c r="B15" s="238"/>
      <c r="C15" s="238"/>
      <c r="D15" s="238"/>
      <c r="E15" s="157"/>
      <c r="F15" s="157"/>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row>
    <row r="16" spans="1:48" ht="12" customHeight="1" x14ac:dyDescent="0.3">
      <c r="A16" s="74" t="s">
        <v>15</v>
      </c>
    </row>
    <row r="17" spans="1:48" s="154" customFormat="1" ht="12" customHeight="1" x14ac:dyDescent="0.3">
      <c r="A17" s="236" t="s">
        <v>30</v>
      </c>
      <c r="B17" s="238"/>
      <c r="C17" s="238"/>
      <c r="D17" s="238"/>
      <c r="E17" s="157"/>
      <c r="F17" s="157"/>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row>
    <row r="18" spans="1:48" ht="12" customHeight="1" x14ac:dyDescent="0.3">
      <c r="A18" s="75" t="s">
        <v>395</v>
      </c>
      <c r="B18" s="76" t="e">
        <f>+'JICA detail'!#REF!</f>
        <v>#REF!</v>
      </c>
      <c r="C18" s="76">
        <f>+'JICA detail'!C33</f>
        <v>1204071</v>
      </c>
      <c r="D18" s="76">
        <f>+'JICA detail'!D33</f>
        <v>1204071</v>
      </c>
      <c r="E18" s="76">
        <v>757427</v>
      </c>
      <c r="F18" s="76">
        <v>692812</v>
      </c>
      <c r="G18" s="64" t="s">
        <v>362</v>
      </c>
    </row>
    <row r="19" spans="1:48" ht="12" customHeight="1" x14ac:dyDescent="0.3">
      <c r="A19" s="86" t="s">
        <v>199</v>
      </c>
      <c r="B19" s="64" t="e">
        <f>+'JICA detail'!#REF!</f>
        <v>#REF!</v>
      </c>
      <c r="C19" s="64">
        <f>+'JICA detail'!C34</f>
        <v>25500</v>
      </c>
      <c r="D19" s="64">
        <f>+'JICA detail'!D34</f>
        <v>25500</v>
      </c>
      <c r="E19" s="64">
        <v>23500</v>
      </c>
      <c r="F19" s="64">
        <v>20121</v>
      </c>
    </row>
    <row r="20" spans="1:48" ht="12" customHeight="1" x14ac:dyDescent="0.3">
      <c r="A20" s="86" t="s">
        <v>256</v>
      </c>
      <c r="B20" s="64" t="e">
        <f>+'JICA detail'!#REF!</f>
        <v>#REF!</v>
      </c>
      <c r="C20" s="64">
        <f>+'JICA detail'!C35</f>
        <v>2080</v>
      </c>
      <c r="D20" s="64">
        <f>+'JICA detail'!D35</f>
        <v>2080</v>
      </c>
      <c r="E20" s="64">
        <v>2731</v>
      </c>
      <c r="F20" s="64">
        <v>411</v>
      </c>
      <c r="G20" s="64" t="s">
        <v>379</v>
      </c>
    </row>
    <row r="21" spans="1:48" ht="12" customHeight="1" x14ac:dyDescent="0.3">
      <c r="A21" s="86" t="s">
        <v>200</v>
      </c>
      <c r="B21" s="64" t="e">
        <f>+'JICA detail'!#REF!</f>
        <v>#REF!</v>
      </c>
      <c r="C21" s="64">
        <f>+'JICA detail'!C36</f>
        <v>44500</v>
      </c>
      <c r="D21" s="64">
        <f>+'JICA detail'!D36</f>
        <v>44500</v>
      </c>
      <c r="E21" s="64">
        <f>19500+25000</f>
        <v>44500</v>
      </c>
      <c r="F21" s="64">
        <v>42424</v>
      </c>
    </row>
    <row r="22" spans="1:48" ht="12" customHeight="1" x14ac:dyDescent="0.3">
      <c r="A22" s="86" t="s">
        <v>276</v>
      </c>
      <c r="B22" s="66" t="e">
        <f>+'JICA detail'!#REF!+'JICA detail'!#REF!+'JICA detail'!#REF!+'JICA detail'!#REF!</f>
        <v>#REF!</v>
      </c>
      <c r="C22" s="66">
        <f>+'JICA detail'!C37+'JICA detail'!C38+'JICA detail'!C40+'JICA detail'!C39</f>
        <v>32204</v>
      </c>
      <c r="D22" s="66">
        <f>+'JICA detail'!D37+'JICA detail'!D38+'JICA detail'!D40+'JICA detail'!D39</f>
        <v>32500</v>
      </c>
      <c r="E22" s="64">
        <v>15000</v>
      </c>
      <c r="F22" s="64">
        <v>19179</v>
      </c>
      <c r="G22" s="64" t="s">
        <v>381</v>
      </c>
    </row>
    <row r="23" spans="1:48" s="46" customFormat="1" ht="12" customHeight="1" x14ac:dyDescent="0.3">
      <c r="A23" s="74" t="s">
        <v>31</v>
      </c>
      <c r="B23" s="87" t="e">
        <f>SUM(B18:B22)</f>
        <v>#REF!</v>
      </c>
      <c r="C23" s="87">
        <f>SUM(C18:C22)</f>
        <v>1308355</v>
      </c>
      <c r="D23" s="87">
        <f>SUM(D18:D22)</f>
        <v>1308651</v>
      </c>
      <c r="E23" s="87">
        <f>SUM(E19:E22)</f>
        <v>85731</v>
      </c>
      <c r="F23" s="87">
        <f>SUM(F19:F22)</f>
        <v>82135</v>
      </c>
    </row>
    <row r="24" spans="1:48" s="46" customFormat="1" ht="6.75" customHeight="1" x14ac:dyDescent="0.3">
      <c r="A24" s="74" t="s">
        <v>15</v>
      </c>
      <c r="B24" s="87"/>
      <c r="C24" s="87"/>
      <c r="D24" s="87"/>
      <c r="E24" s="87"/>
      <c r="F24" s="87"/>
    </row>
    <row r="25" spans="1:48" s="155" customFormat="1" ht="12" customHeight="1" x14ac:dyDescent="0.3">
      <c r="A25" s="239" t="s">
        <v>35</v>
      </c>
      <c r="B25" s="240"/>
      <c r="C25" s="240"/>
      <c r="D25" s="240"/>
      <c r="E25" s="158"/>
      <c r="F25" s="158"/>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row>
    <row r="26" spans="1:48" ht="12" customHeight="1" x14ac:dyDescent="0.3">
      <c r="A26" s="85" t="s">
        <v>388</v>
      </c>
      <c r="B26" s="64" t="e">
        <f>+'JICA detail'!#REF!</f>
        <v>#REF!</v>
      </c>
      <c r="C26" s="64">
        <f>+'JICA detail'!C48</f>
        <v>65811</v>
      </c>
      <c r="D26" s="64">
        <f>+'JICA detail'!D48</f>
        <v>65811</v>
      </c>
      <c r="E26" s="64" t="e">
        <f>SUM(#REF!)</f>
        <v>#REF!</v>
      </c>
      <c r="F26" s="64" t="e">
        <f>SUM(#REF!)</f>
        <v>#REF!</v>
      </c>
    </row>
    <row r="27" spans="1:48" ht="12" customHeight="1" x14ac:dyDescent="0.3">
      <c r="A27" s="85" t="s">
        <v>196</v>
      </c>
      <c r="B27" s="64" t="e">
        <f>+'JICA detail'!#REF!</f>
        <v>#REF!</v>
      </c>
      <c r="C27" s="64">
        <f>+'JICA detail'!C49</f>
        <v>8333</v>
      </c>
      <c r="D27" s="64">
        <f>+'JICA detail'!D49</f>
        <v>8333</v>
      </c>
      <c r="E27" s="64">
        <v>8333</v>
      </c>
      <c r="F27" s="64">
        <v>3879</v>
      </c>
    </row>
    <row r="28" spans="1:48" ht="12" customHeight="1" x14ac:dyDescent="0.3">
      <c r="A28" s="85" t="s">
        <v>360</v>
      </c>
      <c r="B28" s="64" t="e">
        <f>+'JICA detail'!#REF!</f>
        <v>#REF!</v>
      </c>
      <c r="C28" s="64">
        <f>+'JICA detail'!C50</f>
        <v>296</v>
      </c>
      <c r="D28" s="64">
        <f>+'JICA detail'!D50</f>
        <v>0</v>
      </c>
      <c r="G28" s="64" t="s">
        <v>380</v>
      </c>
    </row>
    <row r="29" spans="1:48" ht="12" customHeight="1" x14ac:dyDescent="0.3">
      <c r="A29" s="85" t="s">
        <v>243</v>
      </c>
      <c r="B29" s="64" t="e">
        <f>+'JICA detail'!#REF!</f>
        <v>#REF!</v>
      </c>
      <c r="C29" s="64">
        <f>+'JICA detail'!C51</f>
        <v>5000</v>
      </c>
      <c r="D29" s="64">
        <f>+'JICA detail'!D51</f>
        <v>5000</v>
      </c>
      <c r="E29" s="64">
        <v>5000</v>
      </c>
      <c r="F29" s="64">
        <v>4817</v>
      </c>
    </row>
    <row r="30" spans="1:48" ht="12" customHeight="1" x14ac:dyDescent="0.3">
      <c r="A30" s="89" t="s">
        <v>279</v>
      </c>
      <c r="B30" s="66" t="e">
        <f>+'JICA detail'!#REF!</f>
        <v>#REF!</v>
      </c>
      <c r="C30" s="66">
        <f>+'JICA detail'!C52</f>
        <v>5000</v>
      </c>
      <c r="D30" s="66">
        <f>+'JICA detail'!D52</f>
        <v>5000</v>
      </c>
      <c r="E30" s="66">
        <v>5000</v>
      </c>
      <c r="F30" s="66">
        <v>5654</v>
      </c>
    </row>
    <row r="31" spans="1:48" s="46" customFormat="1" ht="12" customHeight="1" x14ac:dyDescent="0.3">
      <c r="A31" s="74" t="s">
        <v>36</v>
      </c>
      <c r="B31" s="46" t="e">
        <f>SUM(B26:B30)</f>
        <v>#REF!</v>
      </c>
      <c r="C31" s="46">
        <f>SUM(C26:C30)</f>
        <v>84440</v>
      </c>
      <c r="D31" s="46">
        <f>SUM(D26:D30)</f>
        <v>84144</v>
      </c>
      <c r="E31" s="46" t="e">
        <f>SUM(E26:E30)</f>
        <v>#REF!</v>
      </c>
      <c r="F31" s="46" t="e">
        <f>SUM(F26:F30)</f>
        <v>#REF!</v>
      </c>
    </row>
    <row r="32" spans="1:48" ht="7.5" customHeight="1" x14ac:dyDescent="0.3"/>
    <row r="33" spans="1:48" s="155" customFormat="1" ht="12" customHeight="1" x14ac:dyDescent="0.3">
      <c r="A33" s="236" t="s">
        <v>37</v>
      </c>
      <c r="B33" s="240"/>
      <c r="C33" s="240"/>
      <c r="D33" s="240"/>
      <c r="E33" s="158"/>
      <c r="F33" s="158"/>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row>
    <row r="34" spans="1:48" ht="12" customHeight="1" x14ac:dyDescent="0.3">
      <c r="A34" s="85" t="s">
        <v>388</v>
      </c>
      <c r="B34" s="64" t="e">
        <f>+'JICA detail'!#REF!</f>
        <v>#REF!</v>
      </c>
      <c r="C34" s="64">
        <f>+'JICA detail'!C60</f>
        <v>46882</v>
      </c>
      <c r="D34" s="64">
        <f>+'JICA detail'!D60</f>
        <v>46882</v>
      </c>
      <c r="E34" s="46" t="e">
        <f>SUM(#REF!)</f>
        <v>#REF!</v>
      </c>
      <c r="F34" s="64">
        <v>37663</v>
      </c>
    </row>
    <row r="35" spans="1:48" ht="12" customHeight="1" x14ac:dyDescent="0.3">
      <c r="A35" s="85" t="s">
        <v>38</v>
      </c>
      <c r="B35" s="64" t="e">
        <f>+'JICA detail'!#REF!</f>
        <v>#REF!</v>
      </c>
      <c r="C35" s="64">
        <f>+'JICA detail'!C61</f>
        <v>20000</v>
      </c>
      <c r="D35" s="64">
        <f>+'JICA detail'!D61</f>
        <v>20000</v>
      </c>
      <c r="E35" s="64">
        <v>20000</v>
      </c>
      <c r="F35" s="64">
        <v>204</v>
      </c>
      <c r="G35" s="64" t="s">
        <v>292</v>
      </c>
    </row>
    <row r="36" spans="1:48" ht="12" customHeight="1" x14ac:dyDescent="0.3">
      <c r="A36" s="85" t="s">
        <v>206</v>
      </c>
      <c r="B36" s="66" t="e">
        <f>+'JICA detail'!#REF!</f>
        <v>#REF!</v>
      </c>
      <c r="C36" s="66">
        <f>+'JICA detail'!C62</f>
        <v>12517</v>
      </c>
      <c r="D36" s="66">
        <f>+'JICA detail'!D62</f>
        <v>12517</v>
      </c>
      <c r="E36" s="66">
        <v>5000</v>
      </c>
      <c r="F36" s="66">
        <v>3211</v>
      </c>
      <c r="G36" s="64" t="s">
        <v>323</v>
      </c>
    </row>
    <row r="37" spans="1:48" s="46" customFormat="1" ht="12" customHeight="1" x14ac:dyDescent="0.3">
      <c r="A37" s="74" t="s">
        <v>56</v>
      </c>
      <c r="B37" s="46" t="e">
        <f>SUM(B34:B36)</f>
        <v>#REF!</v>
      </c>
      <c r="C37" s="46">
        <f>SUM(C34:C36)</f>
        <v>79399</v>
      </c>
      <c r="D37" s="46">
        <f>SUM(D34:D36)</f>
        <v>79399</v>
      </c>
      <c r="E37" s="46" t="e">
        <f>SUM(E34:E36)</f>
        <v>#REF!</v>
      </c>
      <c r="F37" s="46">
        <f>SUM(F34:F36)</f>
        <v>41078</v>
      </c>
      <c r="G37" s="46" t="s">
        <v>372</v>
      </c>
    </row>
    <row r="38" spans="1:48" ht="8.25" customHeight="1" x14ac:dyDescent="0.3">
      <c r="B38" s="76"/>
      <c r="C38" s="76"/>
      <c r="D38" s="76"/>
      <c r="E38" s="76"/>
      <c r="F38" s="76"/>
    </row>
    <row r="39" spans="1:48" s="155" customFormat="1" ht="12" customHeight="1" x14ac:dyDescent="0.3">
      <c r="A39" s="236" t="s">
        <v>40</v>
      </c>
      <c r="B39" s="240"/>
      <c r="C39" s="240"/>
      <c r="D39" s="240"/>
      <c r="E39" s="158"/>
      <c r="F39" s="158"/>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row>
    <row r="40" spans="1:48" ht="13.5" customHeight="1" x14ac:dyDescent="0.3">
      <c r="A40" s="253" t="s">
        <v>396</v>
      </c>
      <c r="B40" s="237" t="e">
        <f>+'JICA detail'!#REF!+'JICA detail'!#REF!</f>
        <v>#REF!</v>
      </c>
      <c r="C40" s="237">
        <f>+'JICA detail'!C66+'JICA detail'!C67</f>
        <v>157303</v>
      </c>
      <c r="D40" s="237">
        <f>+'JICA detail'!D66+'JICA detail'!D67</f>
        <v>156765</v>
      </c>
      <c r="E40" s="64">
        <v>43186</v>
      </c>
      <c r="F40" s="64">
        <v>48336</v>
      </c>
    </row>
    <row r="41" spans="1:48" ht="13.5" customHeight="1" x14ac:dyDescent="0.3">
      <c r="A41" s="90" t="s">
        <v>270</v>
      </c>
      <c r="B41" s="64" t="e">
        <f>+'JICA detail'!#REF!</f>
        <v>#REF!</v>
      </c>
      <c r="C41" s="64">
        <f>+'JICA detail'!C68</f>
        <v>3000</v>
      </c>
      <c r="D41" s="64">
        <f>+'JICA detail'!D68</f>
        <v>3000</v>
      </c>
      <c r="E41" s="64">
        <v>3000</v>
      </c>
      <c r="F41" s="64">
        <v>3242</v>
      </c>
    </row>
    <row r="42" spans="1:48" ht="13.5" customHeight="1" x14ac:dyDescent="0.3">
      <c r="A42" s="90" t="s">
        <v>213</v>
      </c>
      <c r="B42" s="64" t="e">
        <f>+'JICA detail'!#REF!+'JICA detail'!#REF!+'JICA detail'!#REF!</f>
        <v>#REF!</v>
      </c>
      <c r="C42" s="64">
        <f>+'JICA detail'!C69+'JICA detail'!C71+'JICA detail'!C72</f>
        <v>12300</v>
      </c>
      <c r="D42" s="64">
        <f>+'JICA detail'!D69+'JICA detail'!D71+'JICA detail'!D72</f>
        <v>12200</v>
      </c>
      <c r="E42" s="64">
        <v>915</v>
      </c>
      <c r="G42" s="64" t="s">
        <v>363</v>
      </c>
    </row>
    <row r="43" spans="1:48" ht="12" customHeight="1" x14ac:dyDescent="0.3">
      <c r="A43" s="75" t="s">
        <v>281</v>
      </c>
      <c r="B43" s="66" t="e">
        <f>+'JICA detail'!#REF!</f>
        <v>#REF!</v>
      </c>
      <c r="C43" s="66">
        <f>+'JICA detail'!C73</f>
        <v>75390</v>
      </c>
      <c r="D43" s="66">
        <f>+'JICA detail'!D73</f>
        <v>75390</v>
      </c>
      <c r="E43" s="66">
        <v>75390</v>
      </c>
      <c r="F43" s="66">
        <v>66717</v>
      </c>
      <c r="G43" s="64" t="s">
        <v>280</v>
      </c>
    </row>
    <row r="44" spans="1:48" s="46" customFormat="1" ht="12" customHeight="1" x14ac:dyDescent="0.3">
      <c r="A44" s="74" t="s">
        <v>41</v>
      </c>
      <c r="B44" s="46" t="e">
        <f>SUM(B40:B43)</f>
        <v>#REF!</v>
      </c>
      <c r="C44" s="46">
        <f>SUM(C40:C43)</f>
        <v>247993</v>
      </c>
      <c r="D44" s="46">
        <f>SUM(D40:D43)</f>
        <v>247355</v>
      </c>
      <c r="E44" s="46">
        <f>SUM(E40:E43)</f>
        <v>122491</v>
      </c>
      <c r="F44" s="46">
        <f>SUM(F40:F43)</f>
        <v>118295</v>
      </c>
    </row>
    <row r="45" spans="1:48" s="46" customFormat="1" ht="6" customHeight="1" x14ac:dyDescent="0.3">
      <c r="A45" s="74"/>
    </row>
    <row r="46" spans="1:48" s="154" customFormat="1" ht="12" customHeight="1" x14ac:dyDescent="0.3">
      <c r="A46" s="236" t="s">
        <v>20</v>
      </c>
      <c r="B46" s="237"/>
      <c r="C46" s="237"/>
      <c r="D46" s="237"/>
      <c r="E46" s="156"/>
      <c r="F46" s="156"/>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row>
    <row r="47" spans="1:48" s="76" customFormat="1" ht="12" customHeight="1" x14ac:dyDescent="0.3">
      <c r="A47" s="85" t="s">
        <v>388</v>
      </c>
      <c r="B47" s="76" t="e">
        <f>+'JICA detail'!#REF!+'JICA detail'!#REF!+'JICA detail'!#REF!+'JICA detail'!#REF!</f>
        <v>#REF!</v>
      </c>
      <c r="C47" s="76">
        <f>+'JICA detail'!C77+'JICA detail'!C78+'JICA detail'!C79+'JICA detail'!C80</f>
        <v>194948</v>
      </c>
      <c r="D47" s="76">
        <f>+'JICA detail'!D77+'JICA detail'!D78+'JICA detail'!D79+'JICA detail'!D80</f>
        <v>194948</v>
      </c>
      <c r="E47" s="76" t="e">
        <f>SUM(#REF!)</f>
        <v>#REF!</v>
      </c>
      <c r="F47" s="76">
        <v>195425</v>
      </c>
    </row>
    <row r="48" spans="1:48" s="76" customFormat="1" ht="12" customHeight="1" x14ac:dyDescent="0.3">
      <c r="A48" s="85" t="s">
        <v>271</v>
      </c>
      <c r="B48" s="76" t="e">
        <f>+'JICA detail'!#REF!</f>
        <v>#REF!</v>
      </c>
      <c r="C48" s="76">
        <f>+'JICA detail'!C81</f>
        <v>12125</v>
      </c>
      <c r="D48" s="76">
        <f>+'JICA detail'!D81</f>
        <v>13045</v>
      </c>
      <c r="E48" s="76">
        <v>3000</v>
      </c>
      <c r="F48" s="76">
        <v>1235</v>
      </c>
    </row>
    <row r="49" spans="1:48" s="76" customFormat="1" ht="12" customHeight="1" x14ac:dyDescent="0.3">
      <c r="A49" s="85" t="s">
        <v>198</v>
      </c>
      <c r="B49" s="66" t="e">
        <f>+'JICA detail'!#REF!+'JICA detail'!#REF!+'JICA detail'!#REF!+'JICA detail'!#REF!</f>
        <v>#REF!</v>
      </c>
      <c r="C49" s="66">
        <f>+'JICA detail'!C83+'JICA detail'!C84+'JICA detail'!C85+'JICA detail'!C86</f>
        <v>8650</v>
      </c>
      <c r="D49" s="66">
        <f>+'JICA detail'!D83+'JICA detail'!D84+'JICA detail'!D85+'JICA detail'!D86</f>
        <v>8650</v>
      </c>
      <c r="E49" s="76">
        <v>3000</v>
      </c>
      <c r="F49" s="76">
        <v>1235</v>
      </c>
    </row>
    <row r="50" spans="1:48" s="46" customFormat="1" ht="12" customHeight="1" x14ac:dyDescent="0.3">
      <c r="A50" s="74" t="s">
        <v>21</v>
      </c>
      <c r="B50" s="46" t="e">
        <f>SUM(B47:B49)</f>
        <v>#REF!</v>
      </c>
      <c r="C50" s="46">
        <f>SUM(C47:C49)</f>
        <v>215723</v>
      </c>
      <c r="D50" s="46">
        <f>SUM(D47:D49)</f>
        <v>216643</v>
      </c>
      <c r="E50" s="46" t="e">
        <f>SUM(E47:E49)</f>
        <v>#REF!</v>
      </c>
      <c r="F50" s="46">
        <f>SUM(F47:F49)</f>
        <v>197895</v>
      </c>
    </row>
    <row r="51" spans="1:48" s="46" customFormat="1" ht="8.25" customHeight="1" x14ac:dyDescent="0.3">
      <c r="A51" s="74"/>
    </row>
    <row r="52" spans="1:48" s="154" customFormat="1" ht="12" customHeight="1" x14ac:dyDescent="0.3">
      <c r="A52" s="236" t="s">
        <v>51</v>
      </c>
      <c r="B52" s="237"/>
      <c r="C52" s="237"/>
      <c r="D52" s="237"/>
      <c r="E52" s="156"/>
      <c r="F52" s="156"/>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row>
    <row r="53" spans="1:48" ht="15.75" customHeight="1" x14ac:dyDescent="0.3">
      <c r="A53" s="85" t="s">
        <v>94</v>
      </c>
      <c r="B53" s="118" t="e">
        <f>+'JICA detail'!#REF!</f>
        <v>#REF!</v>
      </c>
      <c r="C53" s="118">
        <f>+'JICA detail'!C90</f>
        <v>35694</v>
      </c>
      <c r="D53" s="118">
        <f>+'JICA detail'!D90</f>
        <v>35694</v>
      </c>
      <c r="E53" s="118">
        <v>34542</v>
      </c>
      <c r="F53" s="118">
        <v>31939</v>
      </c>
    </row>
    <row r="54" spans="1:48" ht="12" customHeight="1" x14ac:dyDescent="0.3">
      <c r="A54" s="75" t="s">
        <v>44</v>
      </c>
      <c r="B54" s="81" t="e">
        <f>+'JICA detail'!#REF!+'JICA detail'!#REF!+'JICA detail'!#REF!</f>
        <v>#REF!</v>
      </c>
      <c r="C54" s="81">
        <f>+'JICA detail'!C91+'JICA detail'!C92+'JICA detail'!C93</f>
        <v>800</v>
      </c>
      <c r="D54" s="81">
        <f>+'JICA detail'!D91+'JICA detail'!D92+'JICA detail'!D93</f>
        <v>2300</v>
      </c>
      <c r="E54" s="81">
        <v>2000</v>
      </c>
      <c r="F54" s="81">
        <v>2198</v>
      </c>
    </row>
    <row r="55" spans="1:48" ht="12" customHeight="1" x14ac:dyDescent="0.3">
      <c r="A55" s="74" t="s">
        <v>32</v>
      </c>
      <c r="B55" s="46" t="e">
        <f>SUM(B53:B54)</f>
        <v>#REF!</v>
      </c>
      <c r="C55" s="46">
        <f>SUM(C53:C54)</f>
        <v>36494</v>
      </c>
      <c r="D55" s="46">
        <f>SUM(D53:D54)</f>
        <v>37994</v>
      </c>
      <c r="E55" s="46">
        <f>SUM(E53:E54)</f>
        <v>36542</v>
      </c>
      <c r="F55" s="46">
        <f>SUM(F53:F54)</f>
        <v>34137</v>
      </c>
    </row>
    <row r="56" spans="1:48" s="46" customFormat="1" ht="6.75" customHeight="1" x14ac:dyDescent="0.3">
      <c r="A56" s="75"/>
      <c r="B56" s="64"/>
      <c r="C56" s="64"/>
      <c r="D56" s="64"/>
      <c r="E56" s="64"/>
      <c r="F56" s="64"/>
    </row>
    <row r="57" spans="1:48" s="154" customFormat="1" ht="12" customHeight="1" x14ac:dyDescent="0.3">
      <c r="A57" s="236" t="s">
        <v>52</v>
      </c>
      <c r="B57" s="237"/>
      <c r="C57" s="237"/>
      <c r="D57" s="237"/>
      <c r="E57" s="156"/>
      <c r="F57" s="156"/>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row>
    <row r="58" spans="1:48" ht="15" customHeight="1" x14ac:dyDescent="0.3">
      <c r="A58" s="85" t="s">
        <v>207</v>
      </c>
      <c r="B58" s="64" t="e">
        <f>+'JICA detail'!#REF!</f>
        <v>#REF!</v>
      </c>
      <c r="C58" s="64">
        <f>+'JICA detail'!C97</f>
        <v>34191</v>
      </c>
      <c r="D58" s="64">
        <f>+'JICA detail'!D97</f>
        <v>34191</v>
      </c>
      <c r="E58" s="64">
        <v>27241</v>
      </c>
      <c r="F58" s="64">
        <v>26155</v>
      </c>
    </row>
    <row r="59" spans="1:48" s="76" customFormat="1" ht="12" customHeight="1" x14ac:dyDescent="0.3">
      <c r="A59" s="85" t="s">
        <v>154</v>
      </c>
      <c r="B59" s="77" t="e">
        <f>+'JICA detail'!#REF!+'JICA detail'!#REF!+'JICA detail'!#REF!+'JICA detail'!#REF!</f>
        <v>#REF!</v>
      </c>
      <c r="C59" s="77">
        <f>+'JICA detail'!C98+'JICA detail'!C99+'JICA detail'!C100+'JICA detail'!C104</f>
        <v>84000</v>
      </c>
      <c r="D59" s="77">
        <f>+'JICA detail'!D98+'JICA detail'!D99+'JICA detail'!D100+'JICA detail'!D104</f>
        <v>84000</v>
      </c>
      <c r="E59" s="77">
        <v>35000</v>
      </c>
      <c r="F59" s="77">
        <v>31754</v>
      </c>
    </row>
    <row r="60" spans="1:48" ht="12" customHeight="1" x14ac:dyDescent="0.3">
      <c r="A60" s="75" t="s">
        <v>46</v>
      </c>
      <c r="B60" s="81" t="e">
        <f>+'JICA detail'!#REF!+'JICA detail'!#REF!+'JICA detail'!#REF!</f>
        <v>#REF!</v>
      </c>
      <c r="C60" s="81">
        <f>+'JICA detail'!C101+'JICA detail'!C102+'JICA detail'!C103</f>
        <v>58000</v>
      </c>
      <c r="D60" s="81">
        <f>+'JICA detail'!D101+'JICA detail'!D102+'JICA detail'!D103</f>
        <v>58000</v>
      </c>
      <c r="E60" s="82">
        <v>20000</v>
      </c>
      <c r="F60" s="82">
        <v>29155</v>
      </c>
    </row>
    <row r="61" spans="1:48" ht="12" customHeight="1" x14ac:dyDescent="0.3">
      <c r="A61" s="74" t="s">
        <v>33</v>
      </c>
      <c r="B61" s="46" t="e">
        <f>SUM(B58:B60)</f>
        <v>#REF!</v>
      </c>
      <c r="C61" s="46">
        <f>SUM(C58:C60)</f>
        <v>176191</v>
      </c>
      <c r="D61" s="46">
        <f>SUM(D58:D60)</f>
        <v>176191</v>
      </c>
      <c r="E61" s="46">
        <f>SUM(E58:E60)</f>
        <v>82241</v>
      </c>
      <c r="F61" s="46">
        <f>SUM(F58:F60)</f>
        <v>87064</v>
      </c>
    </row>
    <row r="62" spans="1:48" ht="9.75" customHeight="1" x14ac:dyDescent="0.3"/>
    <row r="63" spans="1:48" s="57" customFormat="1" ht="12" customHeight="1" x14ac:dyDescent="0.3">
      <c r="A63" s="241" t="s">
        <v>236</v>
      </c>
      <c r="B63" s="242"/>
      <c r="C63" s="242"/>
      <c r="D63" s="242"/>
      <c r="E63" s="160"/>
      <c r="F63" s="160"/>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row>
    <row r="64" spans="1:48" s="51" customFormat="1" ht="12" customHeight="1" x14ac:dyDescent="0.3">
      <c r="A64" s="51" t="s">
        <v>397</v>
      </c>
      <c r="B64" s="63" t="e">
        <f>+'JICA detail'!#REF!</f>
        <v>#REF!</v>
      </c>
      <c r="C64" s="63">
        <f>+'JICA detail'!C111</f>
        <v>16262</v>
      </c>
      <c r="D64" s="63">
        <f>+'JICA detail'!D111</f>
        <v>15000</v>
      </c>
    </row>
    <row r="65" spans="1:48" s="57" customFormat="1" ht="12" customHeight="1" x14ac:dyDescent="0.3">
      <c r="A65" s="60" t="s">
        <v>398</v>
      </c>
      <c r="B65" s="60" t="e">
        <f>+'JICA detail'!#REF!</f>
        <v>#REF!</v>
      </c>
      <c r="C65" s="60">
        <f>+'JICA detail'!C111</f>
        <v>16262</v>
      </c>
      <c r="D65" s="60">
        <f>+'JICA detail'!D111</f>
        <v>15000</v>
      </c>
      <c r="E65" s="51" t="e">
        <f>SUM(#REF!)</f>
        <v>#REF!</v>
      </c>
      <c r="F65" s="51" t="e">
        <f>SUM(#REF!)</f>
        <v>#REF!</v>
      </c>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row>
    <row r="66" spans="1:48" ht="6.75" customHeight="1" x14ac:dyDescent="0.3"/>
    <row r="67" spans="1:48" s="154" customFormat="1" ht="14.4" x14ac:dyDescent="0.3">
      <c r="A67" s="236" t="s">
        <v>53</v>
      </c>
      <c r="B67" s="237"/>
      <c r="C67" s="237"/>
      <c r="D67" s="237"/>
      <c r="E67" s="156"/>
      <c r="F67" s="156"/>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row>
    <row r="68" spans="1:48" ht="12" customHeight="1" x14ac:dyDescent="0.3">
      <c r="A68" s="85" t="s">
        <v>139</v>
      </c>
      <c r="B68" s="64" t="e">
        <f>+'JICA detail'!#REF!</f>
        <v>#REF!</v>
      </c>
      <c r="C68" s="64">
        <f>+'JICA detail'!C114</f>
        <v>44280</v>
      </c>
      <c r="D68" s="64">
        <f>+'JICA detail'!D114</f>
        <v>0</v>
      </c>
      <c r="E68" s="64">
        <v>44280</v>
      </c>
      <c r="F68" s="64">
        <v>39406</v>
      </c>
    </row>
    <row r="69" spans="1:48" ht="12" customHeight="1" x14ac:dyDescent="0.3">
      <c r="A69" s="86" t="s">
        <v>257</v>
      </c>
      <c r="B69" s="64" t="e">
        <f>+'JICA detail'!#REF!</f>
        <v>#REF!</v>
      </c>
      <c r="C69" s="64">
        <f>+'JICA detail'!C115</f>
        <v>15000</v>
      </c>
      <c r="D69" s="64">
        <f>+'JICA detail'!D115</f>
        <v>15000</v>
      </c>
      <c r="E69" s="64">
        <v>30000</v>
      </c>
    </row>
    <row r="70" spans="1:48" ht="12" customHeight="1" x14ac:dyDescent="0.3">
      <c r="A70" s="75" t="s">
        <v>47</v>
      </c>
      <c r="B70" s="77" t="e">
        <f>+'JICA detail'!#REF!</f>
        <v>#REF!</v>
      </c>
      <c r="C70" s="77">
        <f>+'JICA detail'!C116</f>
        <v>7426</v>
      </c>
      <c r="D70" s="77">
        <f>+'JICA detail'!D116</f>
        <v>7426</v>
      </c>
      <c r="E70" s="77">
        <v>6000</v>
      </c>
      <c r="F70" s="77">
        <v>12053</v>
      </c>
    </row>
    <row r="71" spans="1:48" ht="12" customHeight="1" x14ac:dyDescent="0.3">
      <c r="A71" s="75" t="s">
        <v>11</v>
      </c>
      <c r="B71" s="66" t="e">
        <f>+'JICA detail'!#REF!</f>
        <v>#REF!</v>
      </c>
      <c r="C71" s="66">
        <f>+'JICA detail'!C117</f>
        <v>15000</v>
      </c>
      <c r="D71" s="66">
        <f>+'JICA detail'!D117</f>
        <v>15000</v>
      </c>
      <c r="E71" s="66">
        <v>23000</v>
      </c>
      <c r="F71" s="66">
        <v>8984</v>
      </c>
    </row>
    <row r="72" spans="1:48" ht="12" customHeight="1" x14ac:dyDescent="0.3">
      <c r="A72" s="74" t="s">
        <v>34</v>
      </c>
      <c r="B72" s="87" t="e">
        <f>SUM(B68:B71)</f>
        <v>#REF!</v>
      </c>
      <c r="C72" s="87">
        <f>SUM(C68:C71)</f>
        <v>81706</v>
      </c>
      <c r="D72" s="87">
        <f>SUM(D68:D71)</f>
        <v>37426</v>
      </c>
      <c r="E72" s="87">
        <f>SUM(E68:E71)</f>
        <v>103280</v>
      </c>
      <c r="F72" s="87">
        <f>SUM(F68:F71)</f>
        <v>60443</v>
      </c>
    </row>
    <row r="73" spans="1:48" s="46" customFormat="1" ht="15.75" customHeight="1" x14ac:dyDescent="0.3">
      <c r="A73" s="75"/>
      <c r="B73" s="76"/>
      <c r="C73" s="76"/>
      <c r="D73" s="76"/>
      <c r="E73" s="76"/>
      <c r="F73" s="76"/>
    </row>
    <row r="74" spans="1:48" s="154" customFormat="1" ht="12" customHeight="1" x14ac:dyDescent="0.3">
      <c r="A74" s="236" t="s">
        <v>145</v>
      </c>
      <c r="B74" s="244" t="e">
        <f>+'JICA detail'!#REF!</f>
        <v>#REF!</v>
      </c>
      <c r="C74" s="244">
        <f>+'JICA detail'!C120</f>
        <v>225751</v>
      </c>
      <c r="D74" s="244">
        <f>+'JICA detail'!D120</f>
        <v>230000</v>
      </c>
      <c r="E74" s="174">
        <v>182000</v>
      </c>
      <c r="F74" s="174">
        <v>168909</v>
      </c>
      <c r="G74" s="64" t="s">
        <v>341</v>
      </c>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row>
    <row r="75" spans="1:48" ht="9" customHeight="1" x14ac:dyDescent="0.3"/>
    <row r="76" spans="1:48" s="154" customFormat="1" ht="17.25" customHeight="1" x14ac:dyDescent="0.3">
      <c r="A76" s="236" t="s">
        <v>50</v>
      </c>
      <c r="B76" s="245" t="e">
        <f>+B74+B72+B61+B55+B50+B44+B37+B31+B23+B65</f>
        <v>#REF!</v>
      </c>
      <c r="C76" s="245">
        <f>+C74+C72+C61+C55+C50+C44+C37+C31+C23+C65</f>
        <v>2472314</v>
      </c>
      <c r="D76" s="245">
        <f>+D74+D72+D61+D55+D50+D44+D37+D31+D23+D65</f>
        <v>2432803</v>
      </c>
      <c r="E76" s="161" t="e">
        <f>+E74+E72+E61+E55+E50+E44+E37+E31+E23+E65</f>
        <v>#REF!</v>
      </c>
      <c r="F76" s="161">
        <v>2174230</v>
      </c>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row>
    <row r="77" spans="1:48" ht="9.75" customHeight="1" x14ac:dyDescent="0.3"/>
    <row r="78" spans="1:48" s="154" customFormat="1" ht="14.4" x14ac:dyDescent="0.3">
      <c r="A78" s="236" t="s">
        <v>80</v>
      </c>
      <c r="B78" s="240" t="e">
        <f>B13-B76</f>
        <v>#REF!</v>
      </c>
      <c r="C78" s="240">
        <f>C13-C76</f>
        <v>22697</v>
      </c>
      <c r="D78" s="240">
        <f>D13-D76</f>
        <v>44280.120000000112</v>
      </c>
      <c r="E78" s="158" t="e">
        <f>E13-E76</f>
        <v>#REF!</v>
      </c>
      <c r="F78" s="158">
        <f>F13-F76</f>
        <v>41271</v>
      </c>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row>
    <row r="79" spans="1:48" ht="17.25" customHeight="1" x14ac:dyDescent="0.3">
      <c r="A79" s="75" t="s">
        <v>210</v>
      </c>
      <c r="B79" s="66">
        <v>431014</v>
      </c>
      <c r="C79" s="66">
        <v>431014</v>
      </c>
      <c r="D79" s="66">
        <v>403929</v>
      </c>
      <c r="E79" s="66">
        <v>251169</v>
      </c>
      <c r="F79" s="66">
        <v>251169</v>
      </c>
    </row>
    <row r="80" spans="1:48" ht="17.25" customHeight="1" x14ac:dyDescent="0.3">
      <c r="A80" s="75" t="s">
        <v>274</v>
      </c>
      <c r="B80" s="76" t="e">
        <f>SUM(B78:B79)</f>
        <v>#REF!</v>
      </c>
      <c r="C80" s="76">
        <f>SUM(C78:C79)</f>
        <v>453711</v>
      </c>
      <c r="D80" s="76">
        <f>SUM(D78:D79)</f>
        <v>448209.12000000011</v>
      </c>
      <c r="E80" s="76" t="e">
        <f>SUM(E78:E79)</f>
        <v>#REF!</v>
      </c>
      <c r="F80" s="76">
        <f>SUM(F78:F79)</f>
        <v>292440</v>
      </c>
    </row>
    <row r="81" spans="1:48" ht="15.75" customHeight="1" x14ac:dyDescent="0.3">
      <c r="A81" s="75" t="s">
        <v>295</v>
      </c>
      <c r="B81" s="150" t="e">
        <f>+'JICA detail'!#REF!</f>
        <v>#REF!</v>
      </c>
      <c r="C81" s="150">
        <f>+'JICA detail'!C127</f>
        <v>73272</v>
      </c>
      <c r="D81" s="150">
        <f>+'JICA detail'!D127</f>
        <v>72857.1636</v>
      </c>
      <c r="E81" s="150" t="e">
        <f>(E13-#REF!)*0.03</f>
        <v>#REF!</v>
      </c>
      <c r="F81" s="150">
        <f>F13*0.03</f>
        <v>66465.03</v>
      </c>
    </row>
    <row r="82" spans="1:48" ht="18" customHeight="1" thickBot="1" x14ac:dyDescent="0.35">
      <c r="A82" s="75" t="s">
        <v>273</v>
      </c>
      <c r="B82" s="162" t="e">
        <f>+B80-B81</f>
        <v>#REF!</v>
      </c>
      <c r="C82" s="162">
        <f>+C80-C81</f>
        <v>380439</v>
      </c>
      <c r="D82" s="162">
        <f>+D80-D81</f>
        <v>375351.95640000014</v>
      </c>
      <c r="E82" s="162" t="e">
        <f>+E80-E81</f>
        <v>#REF!</v>
      </c>
      <c r="F82" s="162">
        <f>+F80-F81</f>
        <v>225974.97</v>
      </c>
    </row>
    <row r="83" spans="1:48" ht="12.6" customHeight="1" thickTop="1" x14ac:dyDescent="0.3"/>
    <row r="86" spans="1:48" s="201" customFormat="1" ht="12.6" customHeight="1" x14ac:dyDescent="0.3">
      <c r="A86" s="75"/>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row>
    <row r="89" spans="1:48" s="201" customFormat="1" ht="12.6" customHeight="1" x14ac:dyDescent="0.3">
      <c r="A89" s="75"/>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row>
  </sheetData>
  <printOptions gridLines="1"/>
  <pageMargins left="0.67" right="0.18" top="0.74" bottom="0.64" header="0.18" footer="0.38"/>
  <pageSetup orientation="portrait" r:id="rId1"/>
  <headerFooter alignWithMargins="0">
    <oddHeader xml:space="preserve">&amp;CJames Irwin Charter Academy
Statement of Financial Activities
January 31, 2017
</oddHeader>
    <oddFooter>&amp;L&amp;D&amp;T&amp;R&amp;P</oddFooter>
  </headerFooter>
  <rowBreaks count="1" manualBreakCount="1">
    <brk id="5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2"/>
  <sheetViews>
    <sheetView zoomScale="95" zoomScaleNormal="95" workbookViewId="0">
      <pane ySplit="5" topLeftCell="A64" activePane="bottomLeft" state="frozen"/>
      <selection pane="bottomLeft" activeCell="B3" sqref="B3:B4"/>
    </sheetView>
  </sheetViews>
  <sheetFormatPr defaultColWidth="9.109375" defaultRowHeight="12.6" customHeight="1" x14ac:dyDescent="0.3"/>
  <cols>
    <col min="1" max="1" width="39.33203125" style="64" customWidth="1"/>
    <col min="2" max="3" width="12.33203125" style="64" customWidth="1"/>
    <col min="4" max="4" width="12" style="64" customWidth="1"/>
    <col min="5" max="5" width="12.44140625" style="64" hidden="1" customWidth="1"/>
    <col min="6" max="6" width="12.109375" style="64" hidden="1" customWidth="1"/>
    <col min="7" max="7" width="21.5546875" style="64" customWidth="1"/>
    <col min="8" max="8" width="9.109375" style="64"/>
    <col min="9" max="9" width="13.109375" style="64" customWidth="1"/>
    <col min="10" max="16384" width="9.109375" style="64"/>
  </cols>
  <sheetData>
    <row r="1" spans="1:9" ht="15.75" customHeight="1" x14ac:dyDescent="0.3">
      <c r="B1" s="126" t="s">
        <v>15</v>
      </c>
      <c r="C1" s="126"/>
      <c r="D1" s="126" t="s">
        <v>15</v>
      </c>
      <c r="E1" s="126" t="s">
        <v>15</v>
      </c>
      <c r="F1" s="126" t="s">
        <v>15</v>
      </c>
    </row>
    <row r="2" spans="1:9" s="46" customFormat="1" ht="18" customHeight="1" x14ac:dyDescent="0.3">
      <c r="A2" s="71" t="s">
        <v>251</v>
      </c>
      <c r="B2" s="119" t="e">
        <f>'ES detail'!#REF!</f>
        <v>#REF!</v>
      </c>
      <c r="C2" s="119">
        <v>494</v>
      </c>
      <c r="D2" s="119">
        <v>494</v>
      </c>
      <c r="E2" s="119">
        <v>494</v>
      </c>
      <c r="F2" s="119">
        <v>498.42</v>
      </c>
      <c r="G2" s="202">
        <v>495.58</v>
      </c>
    </row>
    <row r="3" spans="1:9" s="44" customFormat="1" ht="16.5" customHeight="1" x14ac:dyDescent="0.3">
      <c r="A3" s="70" t="s">
        <v>252</v>
      </c>
      <c r="B3" s="119" t="e">
        <f>'ES detail'!#REF!</f>
        <v>#REF!</v>
      </c>
      <c r="C3" s="48">
        <v>7156.34</v>
      </c>
      <c r="D3" s="48">
        <v>7156.34</v>
      </c>
      <c r="E3" s="48">
        <v>7034.8</v>
      </c>
      <c r="F3" s="48">
        <v>7034.8</v>
      </c>
    </row>
    <row r="4" spans="1:9" s="100" customFormat="1" ht="12.6" customHeight="1" x14ac:dyDescent="0.3">
      <c r="B4" s="119" t="e">
        <f>'ES detail'!#REF!</f>
        <v>#REF!</v>
      </c>
      <c r="C4" s="44">
        <v>250</v>
      </c>
      <c r="D4" s="44">
        <v>250</v>
      </c>
      <c r="E4" s="44">
        <v>250</v>
      </c>
      <c r="F4" s="44">
        <v>250</v>
      </c>
    </row>
    <row r="5" spans="1:9" s="44" customFormat="1" ht="29.4" thickBot="1" x14ac:dyDescent="0.35">
      <c r="A5" s="49"/>
      <c r="B5" s="187" t="s">
        <v>429</v>
      </c>
      <c r="C5" s="187" t="s">
        <v>424</v>
      </c>
      <c r="D5" s="187" t="s">
        <v>423</v>
      </c>
      <c r="E5" s="187" t="s">
        <v>318</v>
      </c>
      <c r="F5" s="187" t="s">
        <v>306</v>
      </c>
    </row>
    <row r="6" spans="1:9" ht="12" customHeight="1" x14ac:dyDescent="0.3">
      <c r="A6" s="227" t="s">
        <v>16</v>
      </c>
      <c r="B6" s="228"/>
      <c r="C6" s="228"/>
      <c r="D6" s="228"/>
      <c r="E6" s="73"/>
      <c r="F6" s="73"/>
    </row>
    <row r="7" spans="1:9" ht="12" customHeight="1" x14ac:dyDescent="0.3">
      <c r="A7" s="46" t="s">
        <v>26</v>
      </c>
    </row>
    <row r="8" spans="1:9" ht="12" customHeight="1" x14ac:dyDescent="0.3">
      <c r="A8" s="64" t="s">
        <v>63</v>
      </c>
      <c r="B8" s="76" t="e">
        <f>+'ES detail'!#REF!</f>
        <v>#REF!</v>
      </c>
      <c r="C8" s="76">
        <v>3600</v>
      </c>
      <c r="D8" s="76">
        <f>+'ES detail'!D8</f>
        <v>3600</v>
      </c>
      <c r="E8" s="76">
        <v>2000</v>
      </c>
      <c r="F8" s="76">
        <v>4901</v>
      </c>
    </row>
    <row r="9" spans="1:9" ht="12" customHeight="1" x14ac:dyDescent="0.3">
      <c r="A9" s="64" t="s">
        <v>17</v>
      </c>
      <c r="B9" s="64" t="e">
        <f>+'ES detail'!#REF!+'ES detail'!#REF!</f>
        <v>#REF!</v>
      </c>
      <c r="C9" s="64">
        <v>30738</v>
      </c>
      <c r="D9" s="64">
        <f>+'ES detail'!D9+'ES detail'!D10</f>
        <v>27987</v>
      </c>
      <c r="E9" s="64">
        <v>15120</v>
      </c>
      <c r="F9" s="64">
        <v>17023</v>
      </c>
    </row>
    <row r="10" spans="1:9" ht="12" customHeight="1" x14ac:dyDescent="0.3">
      <c r="A10" s="64" t="s">
        <v>77</v>
      </c>
      <c r="B10" s="76" t="e">
        <f>+'ES detail'!#REF!</f>
        <v>#REF!</v>
      </c>
      <c r="C10" s="76">
        <v>7190</v>
      </c>
      <c r="D10" s="76">
        <f>+'ES detail'!D11</f>
        <v>0</v>
      </c>
      <c r="E10" s="76">
        <v>0</v>
      </c>
      <c r="F10" s="76">
        <v>5068</v>
      </c>
    </row>
    <row r="11" spans="1:9" ht="13.5" customHeight="1" x14ac:dyDescent="0.3">
      <c r="A11" s="64" t="s">
        <v>393</v>
      </c>
      <c r="B11" s="76" t="e">
        <f>+'ES detail'!#REF!+'ES detail'!#REF!+'ES detail'!#REF!</f>
        <v>#REF!</v>
      </c>
      <c r="C11" s="76">
        <v>70509</v>
      </c>
      <c r="D11" s="76">
        <f>+'ES detail'!D12+'ES detail'!D19+'ES detail'!D20</f>
        <v>70508.58</v>
      </c>
      <c r="E11" s="76">
        <v>0</v>
      </c>
      <c r="F11" s="76">
        <v>2628</v>
      </c>
    </row>
    <row r="12" spans="1:9" ht="12" customHeight="1" x14ac:dyDescent="0.3">
      <c r="A12" s="64" t="s">
        <v>22</v>
      </c>
      <c r="B12" s="77" t="e">
        <f>+'ES detail'!#REF!</f>
        <v>#REF!</v>
      </c>
      <c r="C12" s="77">
        <v>123500</v>
      </c>
      <c r="D12" s="77">
        <f>+'ES detail'!D13</f>
        <v>123500</v>
      </c>
      <c r="E12" s="77">
        <f>E2*E4</f>
        <v>123500</v>
      </c>
      <c r="F12" s="77">
        <v>128832</v>
      </c>
      <c r="G12" s="64" t="s">
        <v>269</v>
      </c>
      <c r="I12" s="115"/>
    </row>
    <row r="13" spans="1:9" ht="12" customHeight="1" x14ac:dyDescent="0.3">
      <c r="A13" s="64" t="s">
        <v>399</v>
      </c>
      <c r="B13" s="76" t="e">
        <f>+'ES detail'!#REF!+'ES detail'!#REF!</f>
        <v>#REF!</v>
      </c>
      <c r="C13" s="76">
        <v>35160</v>
      </c>
      <c r="D13" s="76">
        <f>+'ES detail'!D14+'ES detail'!D21</f>
        <v>33403</v>
      </c>
      <c r="E13" s="76">
        <v>15000</v>
      </c>
      <c r="F13" s="76">
        <v>18455</v>
      </c>
    </row>
    <row r="14" spans="1:9" ht="12" customHeight="1" x14ac:dyDescent="0.3">
      <c r="A14" s="64" t="s">
        <v>18</v>
      </c>
      <c r="B14" s="66" t="e">
        <f>+'ES detail'!#REF!</f>
        <v>#REF!</v>
      </c>
      <c r="C14" s="66">
        <v>3530648</v>
      </c>
      <c r="D14" s="66">
        <f>+'ES detail'!D15</f>
        <v>3535231.96</v>
      </c>
      <c r="E14" s="66">
        <f>E2*E3</f>
        <v>3475191.2</v>
      </c>
      <c r="F14" s="66">
        <v>3496685</v>
      </c>
    </row>
    <row r="15" spans="1:9" s="46" customFormat="1" ht="12" customHeight="1" x14ac:dyDescent="0.3">
      <c r="A15" s="46" t="s">
        <v>49</v>
      </c>
      <c r="B15" s="46" t="e">
        <f>SUM(B8:B14)</f>
        <v>#REF!</v>
      </c>
      <c r="C15" s="46">
        <f>SUM(C8:C14)</f>
        <v>3801345</v>
      </c>
      <c r="D15" s="46">
        <f>SUM(D8:D14)</f>
        <v>3794230.54</v>
      </c>
      <c r="E15" s="46" t="e">
        <f>SUM(#REF!)</f>
        <v>#REF!</v>
      </c>
      <c r="F15" s="46" t="e">
        <f>SUM(#REF!)</f>
        <v>#REF!</v>
      </c>
    </row>
    <row r="16" spans="1:9" ht="12" customHeight="1" x14ac:dyDescent="0.3"/>
    <row r="17" spans="1:8" ht="12" customHeight="1" x14ac:dyDescent="0.3">
      <c r="A17" s="227" t="s">
        <v>19</v>
      </c>
      <c r="B17" s="228"/>
      <c r="C17" s="228"/>
      <c r="D17" s="228"/>
      <c r="E17" s="73"/>
      <c r="F17" s="73"/>
    </row>
    <row r="18" spans="1:8" ht="12" customHeight="1" x14ac:dyDescent="0.3">
      <c r="A18" s="46" t="s">
        <v>15</v>
      </c>
    </row>
    <row r="19" spans="1:8" ht="12" customHeight="1" x14ac:dyDescent="0.3">
      <c r="A19" s="227" t="s">
        <v>30</v>
      </c>
      <c r="B19" s="228"/>
      <c r="C19" s="228"/>
      <c r="D19" s="228"/>
      <c r="E19" s="73"/>
      <c r="F19" s="73"/>
    </row>
    <row r="20" spans="1:8" ht="15.75" customHeight="1" x14ac:dyDescent="0.3">
      <c r="A20" s="78" t="s">
        <v>395</v>
      </c>
      <c r="B20" s="64" t="e">
        <f>+'ES detail'!#REF!</f>
        <v>#REF!</v>
      </c>
      <c r="C20" s="64">
        <f>+'ES detail'!C34</f>
        <v>1959614</v>
      </c>
      <c r="D20" s="64">
        <f>+'ES detail'!D34</f>
        <v>1962119</v>
      </c>
      <c r="E20" s="64" t="e">
        <f>SUM(#REF!)</f>
        <v>#REF!</v>
      </c>
      <c r="F20" s="64" t="e">
        <f>SUM(#REF!)</f>
        <v>#REF!</v>
      </c>
    </row>
    <row r="21" spans="1:8" ht="12" customHeight="1" x14ac:dyDescent="0.3">
      <c r="A21" s="96" t="s">
        <v>82</v>
      </c>
      <c r="B21" s="64" t="e">
        <f>+'ES detail'!#REF!</f>
        <v>#REF!</v>
      </c>
      <c r="C21" s="64">
        <f>+'ES detail'!C35</f>
        <v>32000</v>
      </c>
      <c r="D21" s="64">
        <f>+'ES detail'!D35</f>
        <v>32000</v>
      </c>
      <c r="E21" s="64">
        <v>32000</v>
      </c>
      <c r="F21" s="64">
        <v>23735</v>
      </c>
    </row>
    <row r="22" spans="1:8" ht="12" customHeight="1" x14ac:dyDescent="0.3">
      <c r="A22" s="96" t="s">
        <v>83</v>
      </c>
      <c r="B22" s="64" t="e">
        <f>+'ES detail'!#REF!</f>
        <v>#REF!</v>
      </c>
      <c r="C22" s="64">
        <f>+'ES detail'!C36</f>
        <v>153920</v>
      </c>
      <c r="D22" s="64">
        <f>+'ES detail'!D36</f>
        <v>153920</v>
      </c>
      <c r="E22" s="64">
        <f>288*520</f>
        <v>149760</v>
      </c>
      <c r="F22" s="64">
        <v>176754</v>
      </c>
      <c r="G22" s="82" t="s">
        <v>366</v>
      </c>
    </row>
    <row r="23" spans="1:8" ht="12" customHeight="1" x14ac:dyDescent="0.3">
      <c r="A23" s="96" t="s">
        <v>84</v>
      </c>
      <c r="B23" s="64" t="e">
        <f>+'ES detail'!#REF!+'ES detail'!#REF!+'ES detail'!#REF!</f>
        <v>#REF!</v>
      </c>
      <c r="C23" s="64" t="e">
        <f>+'ES detail'!C37+'ES detail'!#REF!+'ES detail'!#REF!</f>
        <v>#REF!</v>
      </c>
      <c r="D23" s="64" t="e">
        <f>+'ES detail'!D37+'ES detail'!#REF!+'ES detail'!#REF!</f>
        <v>#REF!</v>
      </c>
      <c r="E23" s="64">
        <v>18962</v>
      </c>
      <c r="F23" s="64">
        <v>18810</v>
      </c>
      <c r="G23" s="64" t="s">
        <v>382</v>
      </c>
    </row>
    <row r="24" spans="1:8" ht="12" customHeight="1" x14ac:dyDescent="0.3">
      <c r="A24" s="96" t="s">
        <v>85</v>
      </c>
      <c r="B24" s="66" t="e">
        <f>+'ES detail'!#REF!</f>
        <v>#REF!</v>
      </c>
      <c r="C24" s="66">
        <f>+'ES detail'!C38</f>
        <v>32500</v>
      </c>
      <c r="D24" s="66">
        <f>+'ES detail'!D38</f>
        <v>32500</v>
      </c>
      <c r="E24" s="66">
        <v>32500</v>
      </c>
      <c r="F24" s="66">
        <v>31256</v>
      </c>
    </row>
    <row r="25" spans="1:8" s="46" customFormat="1" ht="12" customHeight="1" x14ac:dyDescent="0.3">
      <c r="A25" s="46" t="s">
        <v>31</v>
      </c>
      <c r="B25" s="87" t="e">
        <f>SUM(B20:B24)</f>
        <v>#REF!</v>
      </c>
      <c r="C25" s="87" t="e">
        <f>SUM(C20:C24)</f>
        <v>#REF!</v>
      </c>
      <c r="D25" s="87" t="e">
        <f>SUM(D20:D24)</f>
        <v>#REF!</v>
      </c>
      <c r="E25" s="87" t="e">
        <f>SUM(E20:E24)</f>
        <v>#REF!</v>
      </c>
      <c r="F25" s="87" t="e">
        <f>SUM(F20:F24)</f>
        <v>#REF!</v>
      </c>
    </row>
    <row r="26" spans="1:8" s="46" customFormat="1" ht="12" customHeight="1" x14ac:dyDescent="0.3">
      <c r="A26" s="46" t="s">
        <v>15</v>
      </c>
      <c r="B26" s="87"/>
      <c r="C26" s="87"/>
      <c r="D26" s="87"/>
      <c r="E26" s="87"/>
      <c r="F26" s="87"/>
    </row>
    <row r="27" spans="1:8" s="46" customFormat="1" ht="12" customHeight="1" x14ac:dyDescent="0.3">
      <c r="A27" s="229" t="s">
        <v>35</v>
      </c>
      <c r="B27" s="230"/>
      <c r="C27" s="230"/>
      <c r="D27" s="230"/>
      <c r="E27" s="88"/>
      <c r="F27" s="88"/>
    </row>
    <row r="28" spans="1:8" ht="12" customHeight="1" x14ac:dyDescent="0.3">
      <c r="A28" s="78" t="s">
        <v>388</v>
      </c>
      <c r="B28" s="64" t="e">
        <f>+'ES detail'!#REF!</f>
        <v>#REF!</v>
      </c>
      <c r="C28" s="64">
        <f>+'ES detail'!C47</f>
        <v>106333</v>
      </c>
      <c r="D28" s="64">
        <f>+'ES detail'!D47</f>
        <v>106333</v>
      </c>
      <c r="E28" s="64" t="e">
        <f>SUM(#REF!)</f>
        <v>#REF!</v>
      </c>
      <c r="F28" s="64">
        <v>82930</v>
      </c>
    </row>
    <row r="29" spans="1:8" ht="12" customHeight="1" x14ac:dyDescent="0.3">
      <c r="A29" s="78" t="s">
        <v>196</v>
      </c>
      <c r="B29" s="64" t="e">
        <f>+'ES detail'!#REF!</f>
        <v>#REF!</v>
      </c>
      <c r="C29" s="64">
        <f>+'ES detail'!C48</f>
        <v>8333</v>
      </c>
      <c r="D29" s="64">
        <f>+'ES detail'!D48</f>
        <v>8333</v>
      </c>
      <c r="E29" s="64">
        <v>8333</v>
      </c>
      <c r="F29" s="64">
        <v>3943</v>
      </c>
      <c r="H29" s="188"/>
    </row>
    <row r="30" spans="1:8" ht="12" customHeight="1" x14ac:dyDescent="0.3">
      <c r="A30" s="97" t="s">
        <v>75</v>
      </c>
      <c r="B30" s="66" t="e">
        <f>+'ES detail'!#REF!</f>
        <v>#REF!</v>
      </c>
      <c r="C30" s="66">
        <f>+'ES detail'!C49</f>
        <v>9419</v>
      </c>
      <c r="D30" s="66">
        <f>+'ES detail'!D49</f>
        <v>7715</v>
      </c>
      <c r="E30" s="66">
        <v>7715</v>
      </c>
      <c r="F30" s="66">
        <v>19241</v>
      </c>
    </row>
    <row r="31" spans="1:8" s="46" customFormat="1" ht="12" customHeight="1" x14ac:dyDescent="0.3">
      <c r="A31" s="46" t="s">
        <v>36</v>
      </c>
      <c r="B31" s="46" t="e">
        <f>SUM(B28:B30)</f>
        <v>#REF!</v>
      </c>
      <c r="C31" s="46">
        <f>SUM(C28:C30)</f>
        <v>124085</v>
      </c>
      <c r="D31" s="46">
        <f>SUM(D28:D30)</f>
        <v>122381</v>
      </c>
      <c r="E31" s="46" t="e">
        <f>SUM(E28:E30)</f>
        <v>#REF!</v>
      </c>
      <c r="F31" s="46">
        <f>SUM(F28:F30)</f>
        <v>106114</v>
      </c>
    </row>
    <row r="32" spans="1:8" ht="12" customHeight="1" x14ac:dyDescent="0.3"/>
    <row r="33" spans="1:7" s="46" customFormat="1" ht="12" customHeight="1" x14ac:dyDescent="0.3">
      <c r="A33" s="227" t="s">
        <v>37</v>
      </c>
      <c r="B33" s="230"/>
      <c r="C33" s="230"/>
      <c r="D33" s="230"/>
      <c r="E33" s="88"/>
      <c r="F33" s="88"/>
    </row>
    <row r="34" spans="1:7" ht="12" customHeight="1" x14ac:dyDescent="0.3">
      <c r="A34" s="78" t="s">
        <v>388</v>
      </c>
      <c r="B34" s="64">
        <v>95900</v>
      </c>
      <c r="C34" s="64">
        <v>95900</v>
      </c>
      <c r="D34" s="64">
        <v>95900</v>
      </c>
      <c r="E34" s="64" t="e">
        <f>SUM(#REF!)</f>
        <v>#REF!</v>
      </c>
      <c r="F34" s="64">
        <v>55087</v>
      </c>
    </row>
    <row r="35" spans="1:7" ht="12" customHeight="1" x14ac:dyDescent="0.3">
      <c r="A35" s="82" t="s">
        <v>2</v>
      </c>
      <c r="B35" s="82" t="e">
        <f>+'ES detail'!#REF!</f>
        <v>#REF!</v>
      </c>
      <c r="C35" s="82">
        <f>+'ES detail'!C58</f>
        <v>11200</v>
      </c>
      <c r="D35" s="82">
        <f>+'ES detail'!D58</f>
        <v>11200</v>
      </c>
      <c r="E35" s="82">
        <v>11200</v>
      </c>
      <c r="F35" s="82">
        <v>6840</v>
      </c>
    </row>
    <row r="36" spans="1:7" ht="12" customHeight="1" x14ac:dyDescent="0.3">
      <c r="A36" s="64" t="s">
        <v>38</v>
      </c>
      <c r="B36" s="66" t="e">
        <f>+'ES detail'!#REF!</f>
        <v>#REF!</v>
      </c>
      <c r="C36" s="66">
        <f>+'ES detail'!C59</f>
        <v>20000</v>
      </c>
      <c r="D36" s="66">
        <f>+'ES detail'!D59</f>
        <v>20000</v>
      </c>
      <c r="E36" s="66">
        <v>20000</v>
      </c>
      <c r="F36" s="66">
        <v>7896</v>
      </c>
    </row>
    <row r="37" spans="1:7" s="46" customFormat="1" ht="12" customHeight="1" x14ac:dyDescent="0.3">
      <c r="A37" s="46" t="s">
        <v>56</v>
      </c>
      <c r="B37" s="46" t="e">
        <f>SUM(B34:B36)</f>
        <v>#REF!</v>
      </c>
      <c r="C37" s="46">
        <f>SUM(C34:C36)</f>
        <v>127100</v>
      </c>
      <c r="D37" s="46">
        <f>SUM(D34:D36)</f>
        <v>127100</v>
      </c>
      <c r="E37" s="46" t="e">
        <f>SUM(E34:E36)</f>
        <v>#REF!</v>
      </c>
      <c r="F37" s="46">
        <f>SUM(F34:F36)</f>
        <v>69823</v>
      </c>
    </row>
    <row r="38" spans="1:7" ht="9" customHeight="1" x14ac:dyDescent="0.3">
      <c r="B38" s="76"/>
      <c r="C38" s="76"/>
      <c r="D38" s="76"/>
      <c r="E38" s="76"/>
      <c r="F38" s="76"/>
    </row>
    <row r="39" spans="1:7" s="46" customFormat="1" ht="12" customHeight="1" x14ac:dyDescent="0.3">
      <c r="A39" s="227" t="s">
        <v>40</v>
      </c>
      <c r="B39" s="230"/>
      <c r="C39" s="230"/>
      <c r="D39" s="230"/>
      <c r="E39" s="88"/>
      <c r="F39" s="88"/>
    </row>
    <row r="40" spans="1:7" ht="12" customHeight="1" x14ac:dyDescent="0.3">
      <c r="A40" s="98" t="s">
        <v>400</v>
      </c>
      <c r="B40" s="64" t="e">
        <f>+'ES detail'!#REF!+'ES detail'!#REF!</f>
        <v>#REF!</v>
      </c>
      <c r="C40" s="64">
        <f>+'ES detail'!C63+'ES detail'!C64</f>
        <v>224752</v>
      </c>
      <c r="D40" s="64">
        <f>41295+183687</f>
        <v>224982</v>
      </c>
      <c r="E40" s="64">
        <v>43186</v>
      </c>
      <c r="F40" s="64">
        <v>48336</v>
      </c>
    </row>
    <row r="41" spans="1:7" ht="12" customHeight="1" x14ac:dyDescent="0.3">
      <c r="A41" s="98" t="s">
        <v>270</v>
      </c>
      <c r="B41" s="64" t="e">
        <f>+'ES detail'!#REF!</f>
        <v>#REF!</v>
      </c>
      <c r="C41" s="64">
        <f>+'ES detail'!C66</f>
        <v>3000</v>
      </c>
      <c r="D41" s="64">
        <f>+'ES detail'!D66</f>
        <v>3000</v>
      </c>
      <c r="E41" s="64">
        <f>3*E2</f>
        <v>1482</v>
      </c>
      <c r="F41" s="64">
        <v>2566</v>
      </c>
    </row>
    <row r="42" spans="1:7" ht="12" customHeight="1" x14ac:dyDescent="0.3">
      <c r="A42" s="98" t="s">
        <v>213</v>
      </c>
      <c r="B42" s="64">
        <v>11600</v>
      </c>
      <c r="C42" s="64">
        <v>11600</v>
      </c>
      <c r="D42" s="64">
        <v>8000</v>
      </c>
      <c r="E42" s="64">
        <v>3000</v>
      </c>
      <c r="F42" s="64">
        <v>3413</v>
      </c>
      <c r="G42" s="64" t="s">
        <v>363</v>
      </c>
    </row>
    <row r="43" spans="1:7" ht="12" customHeight="1" x14ac:dyDescent="0.3">
      <c r="A43" s="64" t="s">
        <v>3</v>
      </c>
      <c r="B43" s="66" t="e">
        <f>+'ES detail'!#REF!</f>
        <v>#REF!</v>
      </c>
      <c r="C43" s="66">
        <f>+'ES detail'!C68</f>
        <v>86450</v>
      </c>
      <c r="D43" s="66">
        <f>+'ES detail'!D68</f>
        <v>86450</v>
      </c>
      <c r="E43" s="66">
        <f>175*E2</f>
        <v>86450</v>
      </c>
      <c r="F43" s="66">
        <v>81858</v>
      </c>
      <c r="G43" s="64" t="s">
        <v>244</v>
      </c>
    </row>
    <row r="44" spans="1:7" s="46" customFormat="1" ht="12" customHeight="1" x14ac:dyDescent="0.3">
      <c r="A44" s="46" t="s">
        <v>41</v>
      </c>
      <c r="B44" s="46" t="e">
        <f>SUM(B40:B43)</f>
        <v>#REF!</v>
      </c>
      <c r="C44" s="46">
        <f>SUM(C40:C43)</f>
        <v>325802</v>
      </c>
      <c r="D44" s="46">
        <f>SUM(D40:D43)</f>
        <v>322432</v>
      </c>
      <c r="E44" s="46">
        <f>SUM(E40:E43)</f>
        <v>134118</v>
      </c>
      <c r="F44" s="46">
        <f>SUM(F40:F43)</f>
        <v>136173</v>
      </c>
    </row>
    <row r="45" spans="1:7" s="46" customFormat="1" ht="9.75" customHeight="1" x14ac:dyDescent="0.3"/>
    <row r="46" spans="1:7" ht="12" customHeight="1" x14ac:dyDescent="0.3">
      <c r="A46" s="227" t="s">
        <v>20</v>
      </c>
      <c r="B46" s="228"/>
      <c r="C46" s="228"/>
      <c r="D46" s="228"/>
      <c r="E46" s="73"/>
      <c r="F46" s="73"/>
    </row>
    <row r="47" spans="1:7" s="76" customFormat="1" ht="12" customHeight="1" x14ac:dyDescent="0.3">
      <c r="A47" s="78" t="s">
        <v>388</v>
      </c>
      <c r="B47" s="76" t="e">
        <f>+'ES detail'!#REF!+'ES detail'!#REF!+'ES detail'!#REF!+'ES detail'!#REF!</f>
        <v>#REF!</v>
      </c>
      <c r="C47" s="76">
        <f>+'ES detail'!C72+'ES detail'!C73+'ES detail'!C74+'ES detail'!C75</f>
        <v>290058</v>
      </c>
      <c r="D47" s="76">
        <f>+'ES detail'!D72+'ES detail'!D73+'ES detail'!D74+'ES detail'!D75</f>
        <v>290058</v>
      </c>
      <c r="E47" s="76" t="e">
        <f>SUM(#REF!)</f>
        <v>#REF!</v>
      </c>
      <c r="F47" s="76" t="e">
        <f>SUM(#REF!)</f>
        <v>#REF!</v>
      </c>
    </row>
    <row r="48" spans="1:7" s="76" customFormat="1" ht="12" customHeight="1" x14ac:dyDescent="0.3">
      <c r="A48" s="78" t="s">
        <v>271</v>
      </c>
      <c r="B48" s="76" t="e">
        <f>+'ES detail'!#REF!</f>
        <v>#REF!</v>
      </c>
      <c r="C48" s="76">
        <f>+'ES detail'!C76</f>
        <v>20150</v>
      </c>
      <c r="D48" s="76">
        <f>+'ES detail'!D76</f>
        <v>21895</v>
      </c>
    </row>
    <row r="49" spans="1:7" ht="12" customHeight="1" x14ac:dyDescent="0.3">
      <c r="A49" s="64" t="s">
        <v>43</v>
      </c>
      <c r="B49" s="64" t="e">
        <f>+'ES detail'!#REF!+'ES detail'!#REF!</f>
        <v>#REF!</v>
      </c>
      <c r="C49" s="64">
        <f>+'ES detail'!C78+'ES detail'!C81</f>
        <v>4000</v>
      </c>
      <c r="D49" s="64">
        <f>+'ES detail'!D78+'ES detail'!D81</f>
        <v>4000</v>
      </c>
      <c r="E49" s="64">
        <v>3500</v>
      </c>
      <c r="F49" s="64">
        <v>2937</v>
      </c>
    </row>
    <row r="50" spans="1:7" ht="12" customHeight="1" x14ac:dyDescent="0.3">
      <c r="A50" s="64" t="s">
        <v>213</v>
      </c>
      <c r="B50" s="66" t="e">
        <f>+'ES detail'!#REF!+'ES detail'!#REF!</f>
        <v>#REF!</v>
      </c>
      <c r="C50" s="66">
        <f>+'ES detail'!C79+'ES detail'!C80</f>
        <v>3003</v>
      </c>
      <c r="D50" s="66">
        <f>+'ES detail'!D79+'ES detail'!D80</f>
        <v>3003</v>
      </c>
      <c r="E50" s="66">
        <v>500</v>
      </c>
      <c r="F50" s="66">
        <v>979</v>
      </c>
    </row>
    <row r="51" spans="1:7" s="46" customFormat="1" ht="12" customHeight="1" x14ac:dyDescent="0.3">
      <c r="A51" s="46" t="s">
        <v>21</v>
      </c>
      <c r="B51" s="46" t="e">
        <f>SUM(B47:B50)</f>
        <v>#REF!</v>
      </c>
      <c r="C51" s="46">
        <f>SUM(C47:C50)</f>
        <v>317211</v>
      </c>
      <c r="D51" s="46">
        <f>SUM(D47:D50)</f>
        <v>318956</v>
      </c>
      <c r="E51" s="46" t="e">
        <f>SUM(E47:E50)</f>
        <v>#REF!</v>
      </c>
      <c r="F51" s="46" t="e">
        <f>SUM(F47:F50)</f>
        <v>#REF!</v>
      </c>
    </row>
    <row r="52" spans="1:7" s="46" customFormat="1" ht="7.5" customHeight="1" x14ac:dyDescent="0.3"/>
    <row r="53" spans="1:7" ht="12" customHeight="1" x14ac:dyDescent="0.3">
      <c r="A53" s="227" t="s">
        <v>51</v>
      </c>
      <c r="B53" s="228"/>
      <c r="C53" s="228"/>
      <c r="D53" s="228"/>
      <c r="E53" s="73"/>
      <c r="F53" s="73"/>
    </row>
    <row r="54" spans="1:7" ht="12" customHeight="1" x14ac:dyDescent="0.3">
      <c r="A54" s="98" t="s">
        <v>51</v>
      </c>
      <c r="B54" s="64" t="e">
        <f>+'ES detail'!#REF!</f>
        <v>#REF!</v>
      </c>
      <c r="C54" s="64">
        <f>+'ES detail'!C85</f>
        <v>35694</v>
      </c>
      <c r="D54" s="64">
        <f>+'ES detail'!D85</f>
        <v>35694</v>
      </c>
      <c r="E54" s="64">
        <v>34542</v>
      </c>
      <c r="F54" s="64">
        <v>31939</v>
      </c>
    </row>
    <row r="55" spans="1:7" ht="12" customHeight="1" x14ac:dyDescent="0.3">
      <c r="A55" s="64" t="s">
        <v>44</v>
      </c>
      <c r="B55" s="210" t="e">
        <f>+'ES detail'!#REF!+'ES detail'!#REF!+'ES detail'!#REF!+'ES detail'!#REF!</f>
        <v>#REF!</v>
      </c>
      <c r="C55" s="210">
        <f>+'ES detail'!C86+'ES detail'!C87+'ES detail'!C88+'ES detail'!C89</f>
        <v>3600</v>
      </c>
      <c r="D55" s="210">
        <f>+'ES detail'!D86+'ES detail'!D87+'ES detail'!D88+'ES detail'!D89</f>
        <v>6200</v>
      </c>
      <c r="E55" s="210">
        <v>3100</v>
      </c>
      <c r="F55" s="210">
        <v>3643</v>
      </c>
      <c r="G55" s="118"/>
    </row>
    <row r="56" spans="1:7" ht="12" customHeight="1" x14ac:dyDescent="0.3">
      <c r="A56" s="46" t="s">
        <v>32</v>
      </c>
      <c r="B56" s="46" t="e">
        <f>SUM(B54:B55)</f>
        <v>#REF!</v>
      </c>
      <c r="C56" s="46">
        <f>SUM(C54:C55)</f>
        <v>39294</v>
      </c>
      <c r="D56" s="46">
        <f>SUM(D54:D55)</f>
        <v>41894</v>
      </c>
      <c r="E56" s="46">
        <f>SUM(E54:E55)</f>
        <v>37642</v>
      </c>
      <c r="F56" s="46">
        <f>SUM(F54:F55)</f>
        <v>35582</v>
      </c>
    </row>
    <row r="57" spans="1:7" s="46" customFormat="1" ht="9.75" customHeight="1" x14ac:dyDescent="0.3">
      <c r="A57" s="64"/>
      <c r="B57" s="64"/>
      <c r="C57" s="64"/>
      <c r="D57" s="64"/>
      <c r="E57" s="64"/>
      <c r="F57" s="64"/>
    </row>
    <row r="58" spans="1:7" ht="12" customHeight="1" x14ac:dyDescent="0.3">
      <c r="A58" s="227" t="s">
        <v>52</v>
      </c>
      <c r="B58" s="228"/>
      <c r="C58" s="228"/>
      <c r="D58" s="228"/>
      <c r="E58" s="73"/>
      <c r="F58" s="73"/>
    </row>
    <row r="59" spans="1:7" ht="12" customHeight="1" x14ac:dyDescent="0.3">
      <c r="A59" s="78" t="s">
        <v>155</v>
      </c>
      <c r="B59" s="64" t="e">
        <f>+'ES detail'!#REF!</f>
        <v>#REF!</v>
      </c>
      <c r="C59" s="64">
        <f>+'ES detail'!C93</f>
        <v>34191</v>
      </c>
      <c r="D59" s="64">
        <f>+'ES detail'!D93</f>
        <v>34191</v>
      </c>
      <c r="E59" s="64">
        <v>27241</v>
      </c>
      <c r="F59" s="64">
        <v>28395</v>
      </c>
    </row>
    <row r="60" spans="1:7" s="76" customFormat="1" ht="12" customHeight="1" x14ac:dyDescent="0.3">
      <c r="A60" s="78" t="s">
        <v>154</v>
      </c>
      <c r="B60" s="77" t="e">
        <f>+'ES detail'!#REF!+'ES detail'!#REF!+'ES detail'!#REF!+'ES detail'!#REF!</f>
        <v>#REF!</v>
      </c>
      <c r="C60" s="77">
        <f>+'ES detail'!C94+'ES detail'!C95+'ES detail'!C96+'ES detail'!C100</f>
        <v>147700</v>
      </c>
      <c r="D60" s="77">
        <f>+'ES detail'!D94+'ES detail'!D95+'ES detail'!D96+'ES detail'!D100</f>
        <v>149700</v>
      </c>
      <c r="E60" s="77">
        <v>55000</v>
      </c>
      <c r="F60" s="77">
        <v>39740</v>
      </c>
    </row>
    <row r="61" spans="1:7" ht="12" customHeight="1" x14ac:dyDescent="0.3">
      <c r="A61" s="64" t="s">
        <v>401</v>
      </c>
      <c r="B61" s="81" t="e">
        <f>+'ES detail'!#REF!+'ES detail'!#REF!+'ES detail'!#REF!</f>
        <v>#REF!</v>
      </c>
      <c r="C61" s="81">
        <f>+'ES detail'!C97+'ES detail'!C98+'ES detail'!C99</f>
        <v>50500</v>
      </c>
      <c r="D61" s="81">
        <f>+'ES detail'!D97+'ES detail'!D98+'ES detail'!D99</f>
        <v>51000</v>
      </c>
      <c r="E61" s="81">
        <v>86000</v>
      </c>
      <c r="F61" s="81">
        <v>75191</v>
      </c>
    </row>
    <row r="62" spans="1:7" ht="12" customHeight="1" x14ac:dyDescent="0.3">
      <c r="A62" s="46" t="s">
        <v>33</v>
      </c>
      <c r="B62" s="46" t="e">
        <f>SUM(B59:B61)</f>
        <v>#REF!</v>
      </c>
      <c r="C62" s="46">
        <f>SUM(C59:C61)</f>
        <v>232391</v>
      </c>
      <c r="D62" s="46">
        <f>SUM(D59:D61)</f>
        <v>234891</v>
      </c>
      <c r="E62" s="46">
        <f>SUM(E59:E61)</f>
        <v>168241</v>
      </c>
      <c r="F62" s="46">
        <f>SUM(F59:F61)</f>
        <v>143326</v>
      </c>
    </row>
    <row r="63" spans="1:7" ht="12" customHeight="1" x14ac:dyDescent="0.3"/>
    <row r="64" spans="1:7" ht="14.4" x14ac:dyDescent="0.3">
      <c r="A64" s="227" t="s">
        <v>53</v>
      </c>
      <c r="B64" s="228"/>
      <c r="C64" s="228"/>
      <c r="D64" s="228"/>
      <c r="E64" s="73"/>
      <c r="F64" s="73"/>
    </row>
    <row r="65" spans="1:30" ht="12" customHeight="1" x14ac:dyDescent="0.3">
      <c r="A65" s="98" t="s">
        <v>139</v>
      </c>
      <c r="B65" s="64" t="e">
        <f>+'ES detail'!#REF!</f>
        <v>#REF!</v>
      </c>
      <c r="C65" s="64">
        <f>+'ES detail'!C104</f>
        <v>52981</v>
      </c>
      <c r="D65" s="64">
        <f>+'ES detail'!D104</f>
        <v>52981</v>
      </c>
      <c r="E65" s="64">
        <v>52981</v>
      </c>
      <c r="F65" s="64">
        <v>37480</v>
      </c>
    </row>
    <row r="66" spans="1:30" ht="12" customHeight="1" x14ac:dyDescent="0.3">
      <c r="A66" s="96" t="s">
        <v>91</v>
      </c>
      <c r="B66" s="77" t="e">
        <f>+'ES detail'!#REF!</f>
        <v>#REF!</v>
      </c>
      <c r="C66" s="77">
        <f>+'ES detail'!C105</f>
        <v>50000</v>
      </c>
      <c r="D66" s="77">
        <f>+'ES detail'!D105</f>
        <v>50000</v>
      </c>
      <c r="E66" s="77">
        <v>50000</v>
      </c>
      <c r="F66" s="77">
        <v>50218</v>
      </c>
    </row>
    <row r="67" spans="1:30" ht="12" customHeight="1" x14ac:dyDescent="0.3">
      <c r="A67" s="64" t="s">
        <v>402</v>
      </c>
      <c r="B67" s="77" t="e">
        <f>+'ES detail'!#REF!</f>
        <v>#REF!</v>
      </c>
      <c r="C67" s="77">
        <f>+'ES detail'!C106</f>
        <v>17000</v>
      </c>
      <c r="D67" s="77">
        <f>+'ES detail'!D106</f>
        <v>17000</v>
      </c>
      <c r="E67" s="77">
        <v>15000</v>
      </c>
      <c r="F67" s="77">
        <v>12736</v>
      </c>
      <c r="I67" t="s">
        <v>15</v>
      </c>
    </row>
    <row r="68" spans="1:30" ht="12" customHeight="1" x14ac:dyDescent="0.3">
      <c r="A68" s="64" t="s">
        <v>11</v>
      </c>
      <c r="B68" s="66" t="e">
        <f>+'ES detail'!#REF!</f>
        <v>#REF!</v>
      </c>
      <c r="C68" s="66">
        <f>+'ES detail'!C107</f>
        <v>30000</v>
      </c>
      <c r="D68" s="66">
        <f>+'ES detail'!D107</f>
        <v>30000</v>
      </c>
      <c r="E68" s="66">
        <v>30000</v>
      </c>
      <c r="F68" s="66">
        <v>16660</v>
      </c>
    </row>
    <row r="69" spans="1:30" ht="12" customHeight="1" x14ac:dyDescent="0.3">
      <c r="A69" s="46" t="s">
        <v>34</v>
      </c>
      <c r="B69" s="87" t="e">
        <f>SUM(B65:B68)</f>
        <v>#REF!</v>
      </c>
      <c r="C69" s="87">
        <f>SUM(C65:C68)</f>
        <v>149981</v>
      </c>
      <c r="D69" s="87">
        <f>SUM(D65:D68)</f>
        <v>149981</v>
      </c>
      <c r="E69" s="87">
        <f>SUM(E65:E68)</f>
        <v>147981</v>
      </c>
      <c r="F69" s="87">
        <f>SUM(F65:F68)</f>
        <v>117094</v>
      </c>
    </row>
    <row r="70" spans="1:30" s="46" customFormat="1" ht="12" customHeight="1" x14ac:dyDescent="0.3">
      <c r="A70" s="64"/>
      <c r="B70" s="76"/>
      <c r="C70" s="76"/>
      <c r="D70" s="76"/>
      <c r="E70" s="76"/>
      <c r="F70" s="76"/>
    </row>
    <row r="71" spans="1:30" ht="12" customHeight="1" x14ac:dyDescent="0.3">
      <c r="A71" s="227" t="s">
        <v>145</v>
      </c>
      <c r="B71" s="231" t="e">
        <f>+'ES detail'!#REF!</f>
        <v>#REF!</v>
      </c>
      <c r="C71" s="231">
        <f>+'ES detail'!C110</f>
        <v>389508</v>
      </c>
      <c r="D71" s="231">
        <f>+'ES detail'!D110</f>
        <v>387000</v>
      </c>
      <c r="E71" s="93">
        <f>410000-2000</f>
        <v>408000</v>
      </c>
      <c r="F71" s="93">
        <v>413955</v>
      </c>
      <c r="G71" s="64" t="s">
        <v>343</v>
      </c>
    </row>
    <row r="72" spans="1:30" s="46" customFormat="1" ht="12" customHeight="1" x14ac:dyDescent="0.3">
      <c r="A72" s="64"/>
      <c r="B72" s="76"/>
      <c r="C72" s="76"/>
      <c r="D72" s="76"/>
      <c r="E72" s="76"/>
      <c r="F72" s="76"/>
    </row>
    <row r="73" spans="1:30" ht="15.75" customHeight="1" x14ac:dyDescent="0.3">
      <c r="A73" s="227" t="s">
        <v>50</v>
      </c>
      <c r="B73" s="232" t="e">
        <f>+B71+B69+B62+B56+B51+B44+B37+B31+B25</f>
        <v>#REF!</v>
      </c>
      <c r="C73" s="232" t="e">
        <f>+C71+C69+C62+C56+C51+C44+C37+C31+C25</f>
        <v>#REF!</v>
      </c>
      <c r="D73" s="232" t="e">
        <f>+D71+D69+D62+D56+D51+D44+D37+D31+D25</f>
        <v>#REF!</v>
      </c>
      <c r="E73" s="94" t="e">
        <f>#REF!+E71+E69+E62+E56+E51+E44+E37+E31+E25</f>
        <v>#REF!</v>
      </c>
      <c r="F73" s="94" t="e">
        <f>#REF!+F71+F69+F62+F56+F51+F44+F37+F31+F25</f>
        <v>#REF!</v>
      </c>
      <c r="G73" s="254"/>
    </row>
    <row r="74" spans="1:30" s="46" customFormat="1" ht="12" customHeight="1" x14ac:dyDescent="0.3">
      <c r="A74" s="64"/>
      <c r="B74" s="64"/>
      <c r="C74" s="64"/>
      <c r="D74" s="64"/>
      <c r="E74" s="64"/>
      <c r="F74" s="64"/>
    </row>
    <row r="75" spans="1:30" ht="15" thickBot="1" x14ac:dyDescent="0.35">
      <c r="A75" s="227" t="s">
        <v>80</v>
      </c>
      <c r="B75" s="230" t="e">
        <f>+B15-B73</f>
        <v>#REF!</v>
      </c>
      <c r="C75" s="230" t="e">
        <f>+C15-C73</f>
        <v>#REF!</v>
      </c>
      <c r="D75" s="230" t="e">
        <f>+D15-D73</f>
        <v>#REF!</v>
      </c>
      <c r="E75" s="95" t="e">
        <f>+E15-E73</f>
        <v>#REF!</v>
      </c>
      <c r="F75" s="95" t="e">
        <f>+F15-F73</f>
        <v>#REF!</v>
      </c>
      <c r="I75" s="64" t="s">
        <v>15</v>
      </c>
    </row>
    <row r="76" spans="1:30" ht="12.6" customHeight="1" thickTop="1" x14ac:dyDescent="0.3"/>
    <row r="77" spans="1:30" ht="12.6" customHeight="1" x14ac:dyDescent="0.3">
      <c r="A77" s="64" t="s">
        <v>371</v>
      </c>
      <c r="B77" s="64" t="e">
        <f>+'ES detail'!#REF!</f>
        <v>#REF!</v>
      </c>
      <c r="D77" s="64">
        <f>+'ES detail'!D120</f>
        <v>10200</v>
      </c>
    </row>
    <row r="78" spans="1:30" ht="18.75" customHeight="1" x14ac:dyDescent="0.3">
      <c r="A78" s="64" t="s">
        <v>334</v>
      </c>
      <c r="B78" s="66" t="e">
        <f>+'ES detail'!#REF!</f>
        <v>#REF!</v>
      </c>
      <c r="C78" s="66"/>
      <c r="D78" s="66">
        <f>+'ES detail'!D121</f>
        <v>114000</v>
      </c>
      <c r="E78" s="66"/>
    </row>
    <row r="79" spans="1:30" ht="18.75" customHeight="1" x14ac:dyDescent="0.3">
      <c r="A79" s="228" t="s">
        <v>336</v>
      </c>
      <c r="B79" s="233" t="e">
        <f>+B75-B76-B78</f>
        <v>#REF!</v>
      </c>
      <c r="C79" s="233"/>
      <c r="D79" s="233" t="e">
        <f>+D75-D76-D78</f>
        <v>#REF!</v>
      </c>
      <c r="E79" s="64" t="e">
        <f>E75-E78</f>
        <v>#REF!</v>
      </c>
    </row>
    <row r="80" spans="1:30" s="102" customFormat="1" ht="12.6" customHeight="1" x14ac:dyDescent="0.3">
      <c r="A80" s="75" t="s">
        <v>210</v>
      </c>
      <c r="B80" s="2">
        <v>2243109</v>
      </c>
      <c r="C80" s="2"/>
      <c r="D80" s="2">
        <v>2243109</v>
      </c>
      <c r="E80" s="2">
        <v>1936766</v>
      </c>
      <c r="F80" s="2">
        <v>2049632</v>
      </c>
      <c r="G80" s="78"/>
      <c r="H80" s="78"/>
      <c r="I80" s="78"/>
      <c r="J80" s="78"/>
      <c r="K80" s="78"/>
      <c r="L80" s="78"/>
      <c r="M80" s="78"/>
      <c r="N80" s="78"/>
      <c r="O80" s="78"/>
      <c r="P80" s="78"/>
      <c r="Q80" s="78"/>
      <c r="R80" s="78"/>
      <c r="S80" s="78"/>
      <c r="T80" s="78"/>
      <c r="U80" s="78"/>
      <c r="V80" s="78"/>
      <c r="W80" s="78"/>
      <c r="X80" s="78"/>
      <c r="Y80" s="78"/>
      <c r="Z80" s="78"/>
      <c r="AA80" s="78"/>
      <c r="AB80" s="78"/>
      <c r="AC80" s="78"/>
      <c r="AD80" s="78"/>
    </row>
    <row r="81" spans="1:9" s="79" customFormat="1" ht="15" customHeight="1" thickBot="1" x14ac:dyDescent="0.35">
      <c r="A81" s="104" t="s">
        <v>278</v>
      </c>
      <c r="B81" s="176" t="e">
        <f>SUM(B79:B80)</f>
        <v>#REF!</v>
      </c>
      <c r="C81" s="176"/>
      <c r="D81" s="176" t="e">
        <f>SUM(D79:D80)</f>
        <v>#REF!</v>
      </c>
      <c r="E81" s="176" t="e">
        <f>SUM(E79:E80)</f>
        <v>#REF!</v>
      </c>
      <c r="F81" s="176" t="e">
        <f>SUM(F75:F80)</f>
        <v>#REF!</v>
      </c>
      <c r="G81" s="78"/>
      <c r="H81" s="78"/>
      <c r="I81" s="78"/>
    </row>
    <row r="82" spans="1:9" ht="12.6" customHeight="1" thickTop="1" x14ac:dyDescent="0.3"/>
  </sheetData>
  <printOptions gridLines="1"/>
  <pageMargins left="0.67" right="0.18" top="0.74" bottom="0.64" header="0.18" footer="0.38"/>
  <pageSetup orientation="portrait" r:id="rId1"/>
  <headerFooter alignWithMargins="0">
    <oddHeader xml:space="preserve">&amp;CJames Irwin Charter Elementary School
Statement of Financial Activites
January 31, 2017
 </oddHeader>
    <oddFooter>&amp;L&amp;D&amp;T&amp;R&amp;P</oddFooter>
  </headerFooter>
  <rowBreaks count="1" manualBreakCount="1">
    <brk id="5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95"/>
  <sheetViews>
    <sheetView zoomScaleNormal="100" workbookViewId="0">
      <pane ySplit="5" topLeftCell="A60" activePane="bottomLeft" state="frozen"/>
      <selection pane="bottomLeft" activeCell="A2" sqref="A2"/>
    </sheetView>
  </sheetViews>
  <sheetFormatPr defaultColWidth="9.109375" defaultRowHeight="12.6" customHeight="1" x14ac:dyDescent="0.3"/>
  <cols>
    <col min="1" max="1" width="36.5546875" style="102" customWidth="1"/>
    <col min="2" max="3" width="12.33203125" style="102" customWidth="1"/>
    <col min="4" max="4" width="13.6640625" style="102" customWidth="1"/>
    <col min="5" max="5" width="14.5546875" style="102" hidden="1" customWidth="1"/>
    <col min="6" max="6" width="10.6640625" style="102" hidden="1" customWidth="1"/>
    <col min="7" max="7" width="20.88671875" style="78" customWidth="1"/>
    <col min="8" max="8" width="32.5546875" style="78" customWidth="1"/>
    <col min="9" max="9" width="16" style="78" customWidth="1"/>
    <col min="10" max="21" width="9.109375" style="78"/>
    <col min="22" max="16384" width="9.109375" style="102"/>
  </cols>
  <sheetData>
    <row r="1" spans="1:21" s="44" customFormat="1" ht="12.6" customHeight="1" x14ac:dyDescent="0.3">
      <c r="A1" s="45"/>
      <c r="B1" s="126" t="s">
        <v>15</v>
      </c>
      <c r="C1" s="126"/>
      <c r="D1" s="126" t="s">
        <v>15</v>
      </c>
      <c r="E1" s="126" t="s">
        <v>15</v>
      </c>
      <c r="F1" s="126" t="s">
        <v>15</v>
      </c>
    </row>
    <row r="2" spans="1:21" s="46" customFormat="1" ht="12.6" customHeight="1" x14ac:dyDescent="0.3">
      <c r="A2" s="71" t="s">
        <v>251</v>
      </c>
      <c r="B2" s="47" t="e">
        <f>'MS detail'!#REF!</f>
        <v>#REF!</v>
      </c>
      <c r="C2" s="47">
        <v>443</v>
      </c>
      <c r="D2" s="47">
        <v>443</v>
      </c>
      <c r="E2" s="47">
        <v>441</v>
      </c>
      <c r="F2" s="47">
        <v>448</v>
      </c>
      <c r="G2" s="46">
        <v>444</v>
      </c>
    </row>
    <row r="3" spans="1:21" s="46" customFormat="1" ht="12.6" customHeight="1" x14ac:dyDescent="0.3">
      <c r="A3" s="70" t="s">
        <v>252</v>
      </c>
      <c r="B3" s="47" t="e">
        <f>'MS detail'!#REF!</f>
        <v>#REF!</v>
      </c>
      <c r="C3" s="48">
        <f>7398.46+116.75</f>
        <v>7515.21</v>
      </c>
      <c r="D3" s="48">
        <f>7398.46+116.75</f>
        <v>7515.21</v>
      </c>
      <c r="E3" s="48">
        <v>7356.01</v>
      </c>
      <c r="F3" s="48">
        <v>7356.01</v>
      </c>
      <c r="G3" s="46" t="s">
        <v>15</v>
      </c>
    </row>
    <row r="4" spans="1:21" s="44" customFormat="1" ht="12.6" customHeight="1" x14ac:dyDescent="0.3">
      <c r="A4" s="45"/>
      <c r="B4" s="47" t="e">
        <f>'MS detail'!#REF!</f>
        <v>#REF!</v>
      </c>
      <c r="C4" s="44">
        <v>250</v>
      </c>
      <c r="D4" s="44">
        <v>250</v>
      </c>
      <c r="E4" s="44">
        <v>250</v>
      </c>
      <c r="F4" s="44">
        <v>250</v>
      </c>
    </row>
    <row r="5" spans="1:21" s="44" customFormat="1" ht="33" customHeight="1" thickBot="1" x14ac:dyDescent="0.35">
      <c r="A5" s="49"/>
      <c r="B5" s="187" t="s">
        <v>429</v>
      </c>
      <c r="C5" s="187" t="s">
        <v>424</v>
      </c>
      <c r="D5" s="187" t="s">
        <v>423</v>
      </c>
      <c r="E5" s="187" t="s">
        <v>318</v>
      </c>
      <c r="F5" s="187" t="s">
        <v>306</v>
      </c>
    </row>
    <row r="6" spans="1:21" s="101" customFormat="1" ht="14.4" x14ac:dyDescent="0.3">
      <c r="A6" s="216" t="s">
        <v>16</v>
      </c>
      <c r="B6" s="217"/>
      <c r="C6" s="217"/>
      <c r="D6" s="217"/>
      <c r="G6" s="78"/>
      <c r="H6" s="78"/>
      <c r="I6" s="78"/>
      <c r="J6" s="78"/>
      <c r="K6" s="78"/>
      <c r="L6" s="78"/>
      <c r="M6" s="78"/>
      <c r="N6" s="78"/>
      <c r="O6" s="78"/>
      <c r="P6" s="78"/>
      <c r="Q6" s="78"/>
      <c r="R6" s="78"/>
      <c r="S6" s="78"/>
      <c r="T6" s="78"/>
      <c r="U6" s="78"/>
    </row>
    <row r="7" spans="1:21" ht="12.9" customHeight="1" x14ac:dyDescent="0.3">
      <c r="A7" s="102" t="s">
        <v>23</v>
      </c>
      <c r="B7" s="102" t="e">
        <f>+'MS detail'!#REF!</f>
        <v>#REF!</v>
      </c>
      <c r="C7" s="102">
        <f>+'MS detail'!C8</f>
        <v>3000</v>
      </c>
      <c r="D7" s="102">
        <f>+'MS detail'!D8</f>
        <v>3000</v>
      </c>
      <c r="E7" s="102">
        <v>1800</v>
      </c>
      <c r="F7" s="102">
        <v>4259</v>
      </c>
    </row>
    <row r="8" spans="1:21" ht="12.9" customHeight="1" x14ac:dyDescent="0.3">
      <c r="A8" s="102" t="s">
        <v>17</v>
      </c>
      <c r="B8" s="102" t="e">
        <f>+'MS detail'!#REF!+'MS detail'!#REF!+'MS detail'!#REF!+'MS detail'!#REF!+'MS detail'!#REF!+'MS detail'!#REF!+'MS detail'!#REF!</f>
        <v>#REF!</v>
      </c>
      <c r="C8" s="102">
        <f>+'MS detail'!C7+'MS detail'!C9+'MS detail'!C10+'MS detail'!C11+'MS detail'!C12+'MS detail'!C13+'MS detail'!C16</f>
        <v>68120</v>
      </c>
      <c r="D8" s="102">
        <f>+'MS detail'!D7+'MS detail'!D9+'MS detail'!D10+'MS detail'!D11+'MS detail'!D12+'MS detail'!D13+'MS detail'!D16</f>
        <v>66282</v>
      </c>
      <c r="E8" s="102">
        <v>5000</v>
      </c>
      <c r="F8" s="102">
        <v>2453</v>
      </c>
    </row>
    <row r="9" spans="1:21" ht="12.9" customHeight="1" x14ac:dyDescent="0.3">
      <c r="A9" s="102" t="s">
        <v>404</v>
      </c>
      <c r="B9" s="102" t="e">
        <f>+'MS detail'!#REF!+'MS detail'!#REF!</f>
        <v>#REF!</v>
      </c>
      <c r="C9" s="102">
        <f>+'MS detail'!C37+'MS detail'!C38</f>
        <v>0</v>
      </c>
      <c r="D9" s="102">
        <f>+'MS detail'!D37+'MS detail'!D38</f>
        <v>0</v>
      </c>
    </row>
    <row r="10" spans="1:21" ht="12.9" customHeight="1" x14ac:dyDescent="0.3">
      <c r="A10" s="102" t="s">
        <v>77</v>
      </c>
      <c r="B10" s="78" t="e">
        <f>+'MS detail'!#REF!</f>
        <v>#REF!</v>
      </c>
      <c r="C10" s="78">
        <f>+'MS detail'!C14</f>
        <v>14648</v>
      </c>
      <c r="D10" s="78">
        <f>+'MS detail'!D14</f>
        <v>11058</v>
      </c>
      <c r="E10" s="78">
        <v>7000</v>
      </c>
      <c r="F10" s="78">
        <v>21819</v>
      </c>
    </row>
    <row r="11" spans="1:21" ht="12.9" customHeight="1" x14ac:dyDescent="0.3">
      <c r="A11" s="102" t="s">
        <v>393</v>
      </c>
      <c r="B11" s="78" t="e">
        <f>+'MS detail'!#REF!+'MS detail'!#REF!</f>
        <v>#REF!</v>
      </c>
      <c r="C11" s="78">
        <f>+'MS detail'!C19+'MS detail'!C23</f>
        <v>20335</v>
      </c>
      <c r="D11" s="78">
        <f>+'MS detail'!D19+'MS detail'!D23</f>
        <v>20335.259999999998</v>
      </c>
      <c r="E11" s="78"/>
      <c r="F11" s="78"/>
    </row>
    <row r="12" spans="1:21" ht="12.9" customHeight="1" x14ac:dyDescent="0.3">
      <c r="A12" s="102" t="s">
        <v>22</v>
      </c>
      <c r="B12" s="78" t="e">
        <f>+'MS detail'!#REF!</f>
        <v>#REF!</v>
      </c>
      <c r="C12" s="78">
        <f>+'MS detail'!C17</f>
        <v>111000</v>
      </c>
      <c r="D12" s="78">
        <f>+'MS detail'!D17</f>
        <v>110750</v>
      </c>
      <c r="E12" s="78">
        <v>5425</v>
      </c>
      <c r="F12" s="78">
        <v>7321</v>
      </c>
    </row>
    <row r="13" spans="1:21" ht="12.9" customHeight="1" x14ac:dyDescent="0.3">
      <c r="A13" s="102" t="s">
        <v>403</v>
      </c>
      <c r="B13" s="78" t="e">
        <f>+'MS detail'!#REF!+'MS detail'!#REF!</f>
        <v>#REF!</v>
      </c>
      <c r="C13" s="78">
        <f>+'MS detail'!C18+'MS detail'!C24</f>
        <v>21827</v>
      </c>
      <c r="D13" s="78">
        <f>+'MS detail'!D18+'MS detail'!D24</f>
        <v>21827</v>
      </c>
      <c r="E13" s="78">
        <v>31000</v>
      </c>
      <c r="F13" s="78">
        <v>34141</v>
      </c>
      <c r="G13" s="78" t="s">
        <v>15</v>
      </c>
    </row>
    <row r="14" spans="1:21" ht="12.9" customHeight="1" x14ac:dyDescent="0.3">
      <c r="A14" s="102" t="s">
        <v>146</v>
      </c>
      <c r="B14" s="78" t="e">
        <f>+'MS detail'!#REF!</f>
        <v>#REF!</v>
      </c>
      <c r="C14" s="78">
        <f>+'MS detail'!C35</f>
        <v>27500</v>
      </c>
      <c r="D14" s="78">
        <f>+'MS detail'!D35</f>
        <v>27500</v>
      </c>
      <c r="E14" s="78"/>
      <c r="F14" s="78"/>
    </row>
    <row r="15" spans="1:21" ht="15.75" customHeight="1" x14ac:dyDescent="0.3">
      <c r="A15" s="102" t="s">
        <v>79</v>
      </c>
      <c r="B15" s="103" t="e">
        <f>+'MS detail'!#REF!</f>
        <v>#REF!</v>
      </c>
      <c r="C15" s="103">
        <f>+'MS detail'!C20</f>
        <v>3371518</v>
      </c>
      <c r="D15" s="103">
        <f>+'MS detail'!D20</f>
        <v>3329238.03</v>
      </c>
      <c r="E15" s="103">
        <f>E2*E3</f>
        <v>3244000.41</v>
      </c>
      <c r="F15" s="103">
        <v>3314510</v>
      </c>
    </row>
    <row r="16" spans="1:21" s="104" customFormat="1" ht="19.5" customHeight="1" thickBot="1" x14ac:dyDescent="0.35">
      <c r="A16" s="104" t="s">
        <v>49</v>
      </c>
      <c r="B16" s="108" t="e">
        <f>SUM(B7:B15)</f>
        <v>#REF!</v>
      </c>
      <c r="C16" s="108">
        <f>SUM(C7:C15)</f>
        <v>3637948</v>
      </c>
      <c r="D16" s="108">
        <f>SUM(D7:D15)</f>
        <v>3589990.29</v>
      </c>
      <c r="E16" s="108" t="e">
        <f>+#REF!+#REF!+#REF!+#REF!+#REF!+#REF!</f>
        <v>#REF!</v>
      </c>
      <c r="F16" s="108" t="e">
        <f>+#REF!+#REF!+#REF!+#REF!+#REF!+#REF!</f>
        <v>#REF!</v>
      </c>
      <c r="G16" s="2"/>
      <c r="H16" s="2"/>
      <c r="I16" s="2"/>
      <c r="J16" s="2"/>
      <c r="K16" s="2"/>
      <c r="L16" s="2"/>
      <c r="M16" s="2"/>
      <c r="N16" s="2"/>
      <c r="O16" s="2"/>
      <c r="P16" s="2"/>
      <c r="Q16" s="2"/>
      <c r="R16" s="2"/>
      <c r="S16" s="2"/>
      <c r="T16" s="2"/>
      <c r="U16" s="2"/>
    </row>
    <row r="17" spans="1:47" ht="12.9" customHeight="1" thickTop="1" x14ac:dyDescent="0.3">
      <c r="B17" s="102" t="s">
        <v>15</v>
      </c>
      <c r="C17" s="102" t="s">
        <v>15</v>
      </c>
      <c r="D17" s="102" t="s">
        <v>15</v>
      </c>
      <c r="E17" s="102" t="s">
        <v>15</v>
      </c>
      <c r="F17" s="102" t="s">
        <v>15</v>
      </c>
    </row>
    <row r="18" spans="1:47" s="101" customFormat="1" ht="12.9" customHeight="1" x14ac:dyDescent="0.3">
      <c r="A18" s="216" t="s">
        <v>19</v>
      </c>
      <c r="B18" s="217"/>
      <c r="C18" s="217"/>
      <c r="D18" s="217"/>
      <c r="G18" s="78"/>
      <c r="H18" s="78"/>
      <c r="I18" s="78"/>
      <c r="J18" s="78"/>
      <c r="K18" s="78"/>
      <c r="L18" s="78"/>
      <c r="M18" s="78"/>
      <c r="N18" s="78"/>
      <c r="O18" s="78"/>
      <c r="P18" s="78"/>
      <c r="Q18" s="78"/>
      <c r="R18" s="78"/>
      <c r="S18" s="78"/>
      <c r="T18" s="78"/>
      <c r="U18" s="78"/>
    </row>
    <row r="19" spans="1:47" ht="9.75" customHeight="1" x14ac:dyDescent="0.3">
      <c r="A19" s="104"/>
    </row>
    <row r="20" spans="1:47" ht="12.6" customHeight="1" x14ac:dyDescent="0.3">
      <c r="A20" s="217" t="s">
        <v>89</v>
      </c>
      <c r="B20" s="217"/>
      <c r="C20" s="217"/>
      <c r="D20" s="217"/>
      <c r="E20" s="101"/>
      <c r="F20" s="101"/>
    </row>
    <row r="21" spans="1:47" s="101" customFormat="1" ht="12.9" customHeight="1" x14ac:dyDescent="0.3">
      <c r="A21" s="75" t="s">
        <v>395</v>
      </c>
      <c r="B21" s="78" t="e">
        <f>+'MS detail'!#REF!</f>
        <v>#REF!</v>
      </c>
      <c r="C21" s="78">
        <f>+'MS detail'!C53</f>
        <v>1613093</v>
      </c>
      <c r="D21" s="78">
        <f>+'MS detail'!D53</f>
        <v>1614528</v>
      </c>
      <c r="E21" s="78" t="e">
        <f>SUM(#REF!)</f>
        <v>#REF!</v>
      </c>
      <c r="F21" s="78" t="e">
        <f>SUM(#REF!)</f>
        <v>#REF!</v>
      </c>
      <c r="G21" s="78"/>
      <c r="H21" s="78"/>
      <c r="I21" s="78"/>
      <c r="J21" s="78"/>
      <c r="K21" s="78"/>
      <c r="L21" s="78"/>
      <c r="M21" s="78"/>
      <c r="N21" s="78"/>
      <c r="O21" s="78"/>
      <c r="P21" s="78"/>
      <c r="Q21" s="78"/>
      <c r="R21" s="78"/>
      <c r="S21" s="78"/>
      <c r="T21" s="78"/>
      <c r="U21" s="78"/>
    </row>
    <row r="22" spans="1:47" ht="12.9" customHeight="1" x14ac:dyDescent="0.3">
      <c r="A22" s="78" t="s">
        <v>82</v>
      </c>
      <c r="B22" s="77" t="e">
        <f>+'MS detail'!#REF!</f>
        <v>#REF!</v>
      </c>
      <c r="C22" s="77">
        <f>+'MS detail'!C55</f>
        <v>33000</v>
      </c>
      <c r="D22" s="77">
        <f>+'MS detail'!D55</f>
        <v>33000</v>
      </c>
      <c r="E22" s="77">
        <v>33000</v>
      </c>
      <c r="F22" s="77">
        <v>24540</v>
      </c>
    </row>
    <row r="23" spans="1:47" ht="12.9" customHeight="1" x14ac:dyDescent="0.3">
      <c r="A23" s="78" t="s">
        <v>83</v>
      </c>
      <c r="B23" s="82" t="e">
        <f>+'MS detail'!#REF!</f>
        <v>#REF!</v>
      </c>
      <c r="C23" s="82">
        <f>+'MS detail'!C56</f>
        <v>126360</v>
      </c>
      <c r="D23" s="82">
        <f>+'MS detail'!D56</f>
        <v>126360</v>
      </c>
      <c r="E23" s="82">
        <f>240*520</f>
        <v>124800</v>
      </c>
      <c r="F23" s="82">
        <v>146068</v>
      </c>
      <c r="G23" s="82" t="s">
        <v>331</v>
      </c>
    </row>
    <row r="24" spans="1:47" ht="12.9" customHeight="1" x14ac:dyDescent="0.3">
      <c r="A24" s="78" t="s">
        <v>84</v>
      </c>
      <c r="B24" s="82" t="e">
        <f>+'MS detail'!#REF!+'MS detail'!#REF!+'MS detail'!#REF!+'MS detail'!#REF!</f>
        <v>#REF!</v>
      </c>
      <c r="C24" s="82">
        <f>+'MS detail'!C57+'MS detail'!C58+'MS detail'!C59+'MS detail'!C61</f>
        <v>46860</v>
      </c>
      <c r="D24" s="82">
        <f>+'MS detail'!D57+'MS detail'!D58+'MS detail'!D59+'MS detail'!D61</f>
        <v>45050</v>
      </c>
      <c r="E24" s="82">
        <v>38000</v>
      </c>
      <c r="F24" s="82">
        <f>45584+425</f>
        <v>46009</v>
      </c>
      <c r="G24" s="78" t="s">
        <v>15</v>
      </c>
    </row>
    <row r="25" spans="1:47" ht="12.9" customHeight="1" x14ac:dyDescent="0.3">
      <c r="A25" s="78" t="s">
        <v>85</v>
      </c>
      <c r="B25" s="81" t="e">
        <f>+'MS detail'!#REF!</f>
        <v>#REF!</v>
      </c>
      <c r="C25" s="81">
        <f>+'MS detail'!C60</f>
        <v>28000</v>
      </c>
      <c r="D25" s="81">
        <f>+'MS detail'!D60</f>
        <v>28000</v>
      </c>
      <c r="E25" s="81">
        <v>2550</v>
      </c>
      <c r="F25" s="81">
        <v>2549</v>
      </c>
      <c r="G25" s="78" t="s">
        <v>15</v>
      </c>
    </row>
    <row r="26" spans="1:47" s="104" customFormat="1" ht="12.9" customHeight="1" x14ac:dyDescent="0.3">
      <c r="A26" s="104" t="s">
        <v>31</v>
      </c>
      <c r="B26" s="105" t="e">
        <f>SUM(B21:B25)</f>
        <v>#REF!</v>
      </c>
      <c r="C26" s="105">
        <f>SUM(C21:C25)</f>
        <v>1847313</v>
      </c>
      <c r="D26" s="105">
        <f>SUM(D21:D25)</f>
        <v>1846938</v>
      </c>
      <c r="E26" s="105" t="e">
        <f>SUM(E21:E25)</f>
        <v>#REF!</v>
      </c>
      <c r="F26" s="105" t="e">
        <f>SUM(F21:F25)</f>
        <v>#REF!</v>
      </c>
      <c r="G26" s="2" t="s">
        <v>15</v>
      </c>
      <c r="H26" s="2"/>
      <c r="I26" s="2"/>
      <c r="J26" s="2"/>
      <c r="K26" s="2"/>
      <c r="L26" s="2"/>
      <c r="M26" s="2"/>
      <c r="N26" s="2"/>
      <c r="O26" s="2"/>
      <c r="P26" s="2"/>
      <c r="Q26" s="2"/>
      <c r="R26" s="2"/>
      <c r="S26" s="2"/>
      <c r="T26" s="2"/>
      <c r="U26" s="2"/>
    </row>
    <row r="27" spans="1:47" s="104" customFormat="1" ht="8.25" customHeight="1" x14ac:dyDescent="0.3">
      <c r="A27" s="104" t="s">
        <v>15</v>
      </c>
      <c r="B27" s="105"/>
      <c r="C27" s="105"/>
      <c r="D27" s="105"/>
      <c r="E27" s="105"/>
      <c r="F27" s="105"/>
      <c r="G27" s="2"/>
      <c r="H27" s="2"/>
      <c r="I27" s="2"/>
      <c r="J27" s="2"/>
      <c r="K27" s="2"/>
      <c r="L27" s="2"/>
      <c r="M27" s="2"/>
      <c r="N27" s="2"/>
      <c r="O27" s="2"/>
      <c r="P27" s="2"/>
      <c r="Q27" s="2"/>
      <c r="R27" s="2"/>
      <c r="S27" s="2"/>
      <c r="T27" s="2"/>
      <c r="U27" s="2"/>
    </row>
    <row r="28" spans="1:47" s="1" customFormat="1" ht="12.9" customHeight="1" x14ac:dyDescent="0.3">
      <c r="A28" s="216" t="s">
        <v>35</v>
      </c>
      <c r="B28" s="222"/>
      <c r="C28" s="222"/>
      <c r="D28" s="222"/>
      <c r="E28" s="109"/>
      <c r="F28" s="109"/>
      <c r="G28" s="2" t="s">
        <v>15</v>
      </c>
      <c r="H28" s="2"/>
      <c r="I28" s="2"/>
      <c r="J28" s="2"/>
      <c r="K28" s="2"/>
      <c r="L28" s="2"/>
      <c r="M28" s="2"/>
      <c r="N28" s="2"/>
      <c r="O28" s="2"/>
      <c r="P28" s="2"/>
      <c r="Q28" s="2"/>
      <c r="R28" s="2"/>
      <c r="S28" s="2"/>
      <c r="T28" s="2"/>
      <c r="U28" s="2"/>
    </row>
    <row r="29" spans="1:47" s="78" customFormat="1" ht="12.9" customHeight="1" x14ac:dyDescent="0.3">
      <c r="A29" s="78" t="s">
        <v>388</v>
      </c>
      <c r="B29" s="78" t="e">
        <f>+'MS detail'!#REF!+'MS detail'!#REF!+'MS detail'!#REF!+'MS detail'!#REF!</f>
        <v>#REF!</v>
      </c>
      <c r="C29" s="78">
        <f>+'MS detail'!C65+'MS detail'!C66+'MS detail'!C67+'MS detail'!C68</f>
        <v>180300</v>
      </c>
      <c r="D29" s="78">
        <f>+'MS detail'!D65+'MS detail'!D66+'MS detail'!D67+'MS detail'!D68</f>
        <v>180300</v>
      </c>
      <c r="E29" s="78" t="e">
        <f>SUM(#REF!)</f>
        <v>#REF!</v>
      </c>
      <c r="F29" s="78" t="e">
        <f>SUM(#REF!)</f>
        <v>#REF!</v>
      </c>
    </row>
    <row r="30" spans="1:47" s="78" customFormat="1" ht="12.9" customHeight="1" x14ac:dyDescent="0.3">
      <c r="A30" s="78" t="s">
        <v>125</v>
      </c>
      <c r="B30" s="78" t="e">
        <f>+'MS detail'!#REF!</f>
        <v>#REF!</v>
      </c>
      <c r="C30" s="78">
        <f>+'MS detail'!C69</f>
        <v>5000</v>
      </c>
      <c r="D30" s="78">
        <f>+'MS detail'!D69</f>
        <v>5000</v>
      </c>
    </row>
    <row r="31" spans="1:47" s="78" customFormat="1" ht="12.9" customHeight="1" x14ac:dyDescent="0.3">
      <c r="A31" s="78" t="s">
        <v>196</v>
      </c>
      <c r="B31" s="78" t="e">
        <f>+'MS detail'!#REF!</f>
        <v>#REF!</v>
      </c>
      <c r="C31" s="78">
        <f>+'MS detail'!C71</f>
        <v>8333</v>
      </c>
      <c r="D31" s="78">
        <f>+'MS detail'!D71</f>
        <v>8333</v>
      </c>
      <c r="E31" s="78">
        <v>8333</v>
      </c>
      <c r="F31" s="78">
        <v>3943</v>
      </c>
    </row>
    <row r="32" spans="1:47" s="78" customFormat="1" ht="12.75" customHeight="1" x14ac:dyDescent="0.3">
      <c r="A32" s="78" t="s">
        <v>348</v>
      </c>
      <c r="B32" s="81" t="e">
        <f>+'MS detail'!#REF!+'MS detail'!#REF!+'MS detail'!#REF!+'MS detail'!#REF!</f>
        <v>#REF!</v>
      </c>
      <c r="C32" s="81">
        <f>+'MS detail'!C72+'MS detail'!C73+'MS detail'!C75+'MS detail'!C74</f>
        <v>42425</v>
      </c>
      <c r="D32" s="81">
        <f>+'MS detail'!D72+'MS detail'!D73+'MS detail'!D75+'MS detail'!D74</f>
        <v>37483</v>
      </c>
      <c r="E32" s="77">
        <v>7000</v>
      </c>
      <c r="F32" s="77">
        <v>17923</v>
      </c>
      <c r="G32" s="78" t="s">
        <v>368</v>
      </c>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row>
    <row r="33" spans="1:47" s="2" customFormat="1" ht="12.9" customHeight="1" x14ac:dyDescent="0.3">
      <c r="A33" s="2" t="s">
        <v>36</v>
      </c>
      <c r="B33" s="110" t="e">
        <f>SUM(B29:B32)</f>
        <v>#REF!</v>
      </c>
      <c r="C33" s="110">
        <f>SUM(C29:C32)</f>
        <v>236058</v>
      </c>
      <c r="D33" s="110">
        <f>SUM(D29:D32)</f>
        <v>231116</v>
      </c>
      <c r="E33" s="110" t="e">
        <f>SUM(E29:E32)</f>
        <v>#REF!</v>
      </c>
      <c r="F33" s="110" t="e">
        <f>SUM(F29:F32)</f>
        <v>#REF!</v>
      </c>
    </row>
    <row r="34" spans="1:47" s="78" customFormat="1" ht="11.25" customHeight="1" x14ac:dyDescent="0.3">
      <c r="B34" s="82"/>
      <c r="C34" s="82"/>
      <c r="D34" s="82"/>
      <c r="E34" s="82"/>
      <c r="F34" s="8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row>
    <row r="35" spans="1:47" s="2" customFormat="1" ht="12.9" customHeight="1" x14ac:dyDescent="0.3">
      <c r="A35" s="216" t="s">
        <v>37</v>
      </c>
      <c r="B35" s="222"/>
      <c r="C35" s="222"/>
      <c r="D35" s="222"/>
      <c r="E35" s="109"/>
      <c r="F35" s="109"/>
    </row>
    <row r="36" spans="1:47" ht="12.9" customHeight="1" x14ac:dyDescent="0.3">
      <c r="A36" s="78" t="s">
        <v>388</v>
      </c>
      <c r="B36" s="102" t="e">
        <f>+'MS detail'!#REF!</f>
        <v>#REF!</v>
      </c>
      <c r="C36" s="102">
        <f>+'MS detail'!C83</f>
        <v>87356</v>
      </c>
      <c r="D36" s="102">
        <f>+'MS detail'!D83</f>
        <v>87356</v>
      </c>
      <c r="E36" s="102" t="e">
        <f>SUM(#REF!)</f>
        <v>#REF!</v>
      </c>
      <c r="F36" s="102">
        <v>81881</v>
      </c>
    </row>
    <row r="37" spans="1:47" ht="12.9" customHeight="1" x14ac:dyDescent="0.3">
      <c r="A37" s="82" t="s">
        <v>2</v>
      </c>
      <c r="B37" s="102" t="e">
        <f>+'MS detail'!#REF!</f>
        <v>#REF!</v>
      </c>
      <c r="C37" s="102">
        <f>+'MS detail'!C84</f>
        <v>11250</v>
      </c>
      <c r="D37" s="102">
        <f>+'MS detail'!D84</f>
        <v>11250</v>
      </c>
      <c r="E37" s="102">
        <f>8050+13000-9800</f>
        <v>11250</v>
      </c>
      <c r="F37" s="102">
        <v>18986</v>
      </c>
      <c r="G37" s="78" t="s">
        <v>332</v>
      </c>
    </row>
    <row r="38" spans="1:47" ht="12.9" customHeight="1" x14ac:dyDescent="0.3">
      <c r="A38" s="78" t="s">
        <v>39</v>
      </c>
      <c r="B38" s="82" t="e">
        <f>+'MS detail'!#REF!</f>
        <v>#REF!</v>
      </c>
      <c r="C38" s="82">
        <f>+'MS detail'!C86</f>
        <v>2000</v>
      </c>
      <c r="D38" s="82">
        <f>+'MS detail'!D86</f>
        <v>2000</v>
      </c>
      <c r="E38" s="82">
        <v>2000</v>
      </c>
      <c r="F38" s="82"/>
    </row>
    <row r="39" spans="1:47" ht="12.9" customHeight="1" x14ac:dyDescent="0.3">
      <c r="A39" s="78" t="s">
        <v>38</v>
      </c>
      <c r="B39" s="81" t="e">
        <f>+'MS detail'!#REF!</f>
        <v>#REF!</v>
      </c>
      <c r="C39" s="81">
        <f>+'MS detail'!C87</f>
        <v>17000</v>
      </c>
      <c r="D39" s="81">
        <f>+'MS detail'!D87</f>
        <v>17000</v>
      </c>
      <c r="E39" s="81">
        <v>17000</v>
      </c>
      <c r="F39" s="81">
        <v>7401</v>
      </c>
    </row>
    <row r="40" spans="1:47" s="2" customFormat="1" ht="12.9" customHeight="1" x14ac:dyDescent="0.3">
      <c r="A40" s="2" t="s">
        <v>56</v>
      </c>
      <c r="B40" s="110" t="e">
        <f>SUM(B36:B39)</f>
        <v>#REF!</v>
      </c>
      <c r="C40" s="110">
        <f>SUM(C36:C39)</f>
        <v>117606</v>
      </c>
      <c r="D40" s="110">
        <f>SUM(D36:D39)</f>
        <v>117606</v>
      </c>
      <c r="E40" s="110" t="e">
        <f>SUM(E36:E39)</f>
        <v>#REF!</v>
      </c>
      <c r="F40" s="110">
        <f>SUM(F36:F39)</f>
        <v>108268</v>
      </c>
    </row>
    <row r="41" spans="1:47" ht="6.75" customHeight="1" x14ac:dyDescent="0.3">
      <c r="B41" s="79"/>
      <c r="C41" s="79"/>
      <c r="D41" s="79"/>
      <c r="E41" s="79"/>
      <c r="F41" s="79"/>
    </row>
    <row r="42" spans="1:47" s="1" customFormat="1" ht="12.9" customHeight="1" x14ac:dyDescent="0.3">
      <c r="A42" s="216" t="s">
        <v>40</v>
      </c>
      <c r="B42" s="222"/>
      <c r="C42" s="222"/>
      <c r="D42" s="222"/>
      <c r="E42" s="109"/>
      <c r="F42" s="109"/>
      <c r="G42" s="2"/>
      <c r="H42" s="2"/>
      <c r="I42" s="2"/>
      <c r="J42" s="2"/>
      <c r="K42" s="2"/>
      <c r="L42" s="2"/>
      <c r="M42" s="2"/>
      <c r="N42" s="2"/>
      <c r="O42" s="2"/>
      <c r="P42" s="2"/>
      <c r="Q42" s="2"/>
      <c r="R42" s="2"/>
      <c r="S42" s="2"/>
      <c r="T42" s="2"/>
      <c r="U42" s="2"/>
    </row>
    <row r="43" spans="1:47" ht="12.9" customHeight="1" x14ac:dyDescent="0.3">
      <c r="A43" s="78" t="s">
        <v>405</v>
      </c>
      <c r="B43" s="64" t="e">
        <f>+'MS detail'!#REF!+'MS detail'!#REF!</f>
        <v>#REF!</v>
      </c>
      <c r="C43" s="64">
        <f>+'MS detail'!C91+'MS detail'!C92</f>
        <v>215771</v>
      </c>
      <c r="D43" s="64">
        <f>+'MS detail'!D91+'MS detail'!D92</f>
        <v>213644</v>
      </c>
      <c r="E43" s="64">
        <v>43186</v>
      </c>
      <c r="F43" s="64">
        <v>48336</v>
      </c>
    </row>
    <row r="44" spans="1:47" ht="12.9" customHeight="1" x14ac:dyDescent="0.3">
      <c r="A44" s="78" t="s">
        <v>270</v>
      </c>
      <c r="B44" s="64" t="e">
        <f>+'MS detail'!#REF!</f>
        <v>#REF!</v>
      </c>
      <c r="C44" s="64">
        <f>+'MS detail'!C94</f>
        <v>3000</v>
      </c>
      <c r="D44" s="64">
        <f>+'MS detail'!D94</f>
        <v>3000</v>
      </c>
      <c r="E44" s="64">
        <v>168063</v>
      </c>
      <c r="F44" s="64">
        <v>172001</v>
      </c>
    </row>
    <row r="45" spans="1:47" ht="12.9" customHeight="1" x14ac:dyDescent="0.3">
      <c r="A45" s="78" t="s">
        <v>213</v>
      </c>
      <c r="B45" s="64" t="e">
        <f>+'MS detail'!#REF!+'MS detail'!#REF!+'MS detail'!#REF!</f>
        <v>#REF!</v>
      </c>
      <c r="C45" s="64">
        <f>+'MS detail'!C93+'MS detail'!C95+'MS detail'!C96</f>
        <v>11000</v>
      </c>
      <c r="D45" s="64">
        <f>+'MS detail'!D93+'MS detail'!D95+'MS detail'!D96</f>
        <v>8000</v>
      </c>
      <c r="E45" s="64">
        <f>3*E2</f>
        <v>1323</v>
      </c>
      <c r="F45" s="64">
        <v>2129</v>
      </c>
      <c r="G45" s="64" t="s">
        <v>363</v>
      </c>
    </row>
    <row r="46" spans="1:47" ht="12.9" customHeight="1" x14ac:dyDescent="0.3">
      <c r="A46" s="78" t="s">
        <v>3</v>
      </c>
      <c r="B46" s="103" t="e">
        <f>+'MS detail'!#REF!</f>
        <v>#REF!</v>
      </c>
      <c r="C46" s="103">
        <f>+'MS detail'!C97</f>
        <v>77700</v>
      </c>
      <c r="D46" s="103">
        <f>+'MS detail'!D97</f>
        <v>77525</v>
      </c>
      <c r="E46" s="103">
        <f>175*E2</f>
        <v>77175</v>
      </c>
      <c r="F46" s="103">
        <v>73578</v>
      </c>
      <c r="G46" s="64" t="s">
        <v>244</v>
      </c>
    </row>
    <row r="47" spans="1:47" s="2" customFormat="1" ht="12.9" customHeight="1" x14ac:dyDescent="0.3">
      <c r="A47" s="2" t="s">
        <v>41</v>
      </c>
      <c r="B47" s="110" t="e">
        <f>SUM(B43:B46)</f>
        <v>#REF!</v>
      </c>
      <c r="C47" s="110">
        <f>SUM(C43:C46)</f>
        <v>307471</v>
      </c>
      <c r="D47" s="110">
        <f>SUM(D43:D46)</f>
        <v>302169</v>
      </c>
      <c r="E47" s="110">
        <f>SUM(E43:E46)</f>
        <v>289747</v>
      </c>
      <c r="F47" s="110">
        <f>SUM(F43:F46)</f>
        <v>296044</v>
      </c>
    </row>
    <row r="48" spans="1:47" s="104" customFormat="1" ht="10.5" customHeight="1" x14ac:dyDescent="0.3">
      <c r="B48" s="110"/>
      <c r="C48" s="110"/>
      <c r="D48" s="110"/>
      <c r="E48" s="110"/>
      <c r="F48" s="110"/>
      <c r="G48" s="2"/>
      <c r="H48" s="2"/>
      <c r="I48" s="2"/>
      <c r="J48" s="2"/>
      <c r="K48" s="2"/>
      <c r="L48" s="2"/>
      <c r="M48" s="2"/>
      <c r="N48" s="2"/>
      <c r="O48" s="2"/>
      <c r="P48" s="2"/>
      <c r="Q48" s="2"/>
      <c r="R48" s="2"/>
      <c r="S48" s="2"/>
      <c r="T48" s="2"/>
      <c r="U48" s="2"/>
    </row>
    <row r="49" spans="1:21" s="101" customFormat="1" ht="12.9" customHeight="1" x14ac:dyDescent="0.3">
      <c r="A49" s="216" t="s">
        <v>20</v>
      </c>
      <c r="B49" s="217"/>
      <c r="C49" s="217"/>
      <c r="D49" s="217"/>
      <c r="G49" s="78"/>
      <c r="H49" s="78"/>
      <c r="I49" s="78"/>
      <c r="J49" s="78"/>
      <c r="K49" s="78"/>
      <c r="L49" s="78"/>
      <c r="M49" s="78"/>
      <c r="N49" s="78"/>
      <c r="O49" s="78"/>
      <c r="P49" s="78"/>
      <c r="Q49" s="78"/>
      <c r="R49" s="78"/>
      <c r="S49" s="78"/>
      <c r="T49" s="78"/>
      <c r="U49" s="78"/>
    </row>
    <row r="50" spans="1:21" s="78" customFormat="1" ht="12.9" customHeight="1" x14ac:dyDescent="0.3">
      <c r="A50" s="78" t="s">
        <v>388</v>
      </c>
      <c r="B50" s="78" t="e">
        <f>+'MS detail'!#REF!+'MS detail'!#REF!+'MS detail'!#REF!+'MS detail'!#REF!</f>
        <v>#REF!</v>
      </c>
      <c r="C50" s="78">
        <f>+'MS detail'!C101+'MS detail'!C102+'MS detail'!C103+'MS detail'!C104</f>
        <v>211849</v>
      </c>
      <c r="D50" s="78">
        <f>+'MS detail'!D101+'MS detail'!D102+'MS detail'!D103+'MS detail'!D104</f>
        <v>211849</v>
      </c>
      <c r="E50" s="78" t="e">
        <f>SUM(#REF!)</f>
        <v>#REF!</v>
      </c>
      <c r="F50" s="78" t="e">
        <f>SUM(#REF!)</f>
        <v>#REF!</v>
      </c>
    </row>
    <row r="51" spans="1:21" s="78" customFormat="1" ht="12.9" customHeight="1" x14ac:dyDescent="0.3">
      <c r="A51" s="78" t="s">
        <v>271</v>
      </c>
      <c r="B51" s="78" t="e">
        <f>+'MS detail'!#REF!</f>
        <v>#REF!</v>
      </c>
      <c r="C51" s="78">
        <f>+'MS detail'!C105</f>
        <v>15361</v>
      </c>
      <c r="D51" s="78">
        <f>+'MS detail'!D105</f>
        <v>16800</v>
      </c>
      <c r="E51" s="78">
        <v>3000</v>
      </c>
      <c r="F51" s="78">
        <v>3101</v>
      </c>
    </row>
    <row r="52" spans="1:21" ht="12.9" customHeight="1" x14ac:dyDescent="0.3">
      <c r="A52" s="78" t="s">
        <v>43</v>
      </c>
      <c r="B52" s="76" t="e">
        <f>+'MS detail'!#REF!+'MS detail'!#REF!+'MS detail'!#REF!</f>
        <v>#REF!</v>
      </c>
      <c r="C52" s="76">
        <f>+'MS detail'!C111+'MS detail'!C110+'MS detail'!C107</f>
        <v>3850</v>
      </c>
      <c r="D52" s="76">
        <f>+'MS detail'!D111+'MS detail'!D110+'MS detail'!D107</f>
        <v>3850</v>
      </c>
      <c r="E52" s="76">
        <v>1503</v>
      </c>
      <c r="F52" s="76">
        <v>1793</v>
      </c>
    </row>
    <row r="53" spans="1:21" s="78" customFormat="1" ht="12.9" customHeight="1" x14ac:dyDescent="0.3">
      <c r="A53" s="78" t="s">
        <v>213</v>
      </c>
      <c r="B53" s="103" t="e">
        <f>+'MS detail'!#REF!+'MS detail'!#REF!</f>
        <v>#REF!</v>
      </c>
      <c r="C53" s="103">
        <f>+'MS detail'!C108+'MS detail'!C109</f>
        <v>3003</v>
      </c>
      <c r="D53" s="103">
        <f>+'MS detail'!D108+'MS detail'!D109</f>
        <v>3003</v>
      </c>
      <c r="E53" s="103">
        <v>350</v>
      </c>
      <c r="F53" s="103">
        <v>265</v>
      </c>
    </row>
    <row r="54" spans="1:21" s="2" customFormat="1" ht="12.9" customHeight="1" x14ac:dyDescent="0.3">
      <c r="A54" s="2" t="s">
        <v>21</v>
      </c>
      <c r="B54" s="2" t="e">
        <f>SUM(B50:B53)</f>
        <v>#REF!</v>
      </c>
      <c r="C54" s="2">
        <f>SUM(C50:C53)</f>
        <v>234063</v>
      </c>
      <c r="D54" s="2">
        <f>SUM(D50:D53)</f>
        <v>235502</v>
      </c>
      <c r="E54" s="2" t="e">
        <f>SUM(E50:E53)</f>
        <v>#REF!</v>
      </c>
      <c r="F54" s="2" t="e">
        <f>SUM(F50:F53)</f>
        <v>#REF!</v>
      </c>
    </row>
    <row r="55" spans="1:21" s="104" customFormat="1" ht="9" customHeight="1" x14ac:dyDescent="0.3">
      <c r="B55" s="110"/>
      <c r="C55" s="110"/>
      <c r="D55" s="110"/>
      <c r="E55" s="110"/>
      <c r="F55" s="110"/>
      <c r="G55" s="2"/>
      <c r="H55" s="2"/>
      <c r="I55" s="2"/>
      <c r="J55" s="2"/>
      <c r="K55" s="2"/>
      <c r="L55" s="2"/>
      <c r="M55" s="2"/>
      <c r="N55" s="2"/>
      <c r="O55" s="2"/>
      <c r="P55" s="2"/>
      <c r="Q55" s="2"/>
      <c r="R55" s="2"/>
      <c r="S55" s="2"/>
      <c r="T55" s="2"/>
      <c r="U55" s="2"/>
    </row>
    <row r="56" spans="1:21" s="101" customFormat="1" ht="12.9" customHeight="1" x14ac:dyDescent="0.3">
      <c r="A56" s="216" t="s">
        <v>51</v>
      </c>
      <c r="B56" s="217"/>
      <c r="C56" s="217"/>
      <c r="D56" s="217"/>
      <c r="G56" s="78"/>
      <c r="H56" s="78"/>
      <c r="I56" s="78"/>
      <c r="J56" s="78"/>
      <c r="K56" s="78"/>
      <c r="L56" s="78"/>
      <c r="M56" s="78"/>
      <c r="N56" s="78"/>
      <c r="O56" s="78"/>
      <c r="P56" s="78"/>
      <c r="Q56" s="78"/>
      <c r="R56" s="78"/>
      <c r="S56" s="78"/>
      <c r="T56" s="78"/>
      <c r="U56" s="78"/>
    </row>
    <row r="57" spans="1:21" ht="12.9" customHeight="1" x14ac:dyDescent="0.3">
      <c r="A57" s="78" t="s">
        <v>51</v>
      </c>
      <c r="B57" s="102" t="e">
        <f>+'MS detail'!#REF!</f>
        <v>#REF!</v>
      </c>
      <c r="C57" s="102">
        <f>+'MS detail'!C115</f>
        <v>35694</v>
      </c>
      <c r="D57" s="102">
        <f>+'MS detail'!D115</f>
        <v>35694</v>
      </c>
      <c r="E57" s="102">
        <v>34542</v>
      </c>
      <c r="F57" s="102">
        <v>31939</v>
      </c>
    </row>
    <row r="58" spans="1:21" ht="12.9" customHeight="1" x14ac:dyDescent="0.3">
      <c r="A58" s="102" t="s">
        <v>44</v>
      </c>
      <c r="B58" s="103" t="e">
        <f>+'MS detail'!#REF!+'MS detail'!#REF!+'MS detail'!#REF!+'MS detail'!#REF!</f>
        <v>#REF!</v>
      </c>
      <c r="C58" s="103">
        <f>+'MS detail'!C116+'MS detail'!C117+'MS detail'!C118+'MS detail'!C119</f>
        <v>3600</v>
      </c>
      <c r="D58" s="103">
        <f>+'MS detail'!D116+'MS detail'!D117+'MS detail'!D118+'MS detail'!D119</f>
        <v>6300</v>
      </c>
      <c r="E58" s="103">
        <v>3200</v>
      </c>
      <c r="F58" s="103">
        <v>3336</v>
      </c>
    </row>
    <row r="59" spans="1:21" ht="12.9" customHeight="1" x14ac:dyDescent="0.3">
      <c r="A59" s="104" t="s">
        <v>32</v>
      </c>
      <c r="B59" s="2" t="e">
        <f>SUM(B57:B58)</f>
        <v>#REF!</v>
      </c>
      <c r="C59" s="2">
        <f>SUM(C57:C58)</f>
        <v>39294</v>
      </c>
      <c r="D59" s="2">
        <f>SUM(D57:D58)</f>
        <v>41994</v>
      </c>
      <c r="E59" s="2">
        <f>SUM(E57:E58)</f>
        <v>37742</v>
      </c>
      <c r="F59" s="2">
        <f>SUM(F57:F58)</f>
        <v>35275</v>
      </c>
    </row>
    <row r="60" spans="1:21" s="104" customFormat="1" ht="7.5" customHeight="1" x14ac:dyDescent="0.3">
      <c r="A60" s="102"/>
      <c r="B60" s="78"/>
      <c r="C60" s="78"/>
      <c r="D60" s="78"/>
      <c r="E60" s="78"/>
      <c r="F60" s="78"/>
      <c r="G60" s="2"/>
      <c r="H60" s="2"/>
      <c r="I60" s="2"/>
      <c r="J60" s="2"/>
      <c r="K60" s="2"/>
      <c r="L60" s="2"/>
      <c r="M60" s="2"/>
      <c r="N60" s="2"/>
      <c r="O60" s="2"/>
      <c r="P60" s="2"/>
      <c r="Q60" s="2"/>
      <c r="R60" s="2"/>
      <c r="S60" s="2"/>
      <c r="T60" s="2"/>
      <c r="U60" s="2"/>
    </row>
    <row r="61" spans="1:21" s="101" customFormat="1" ht="12.9" customHeight="1" x14ac:dyDescent="0.3">
      <c r="A61" s="216" t="s">
        <v>52</v>
      </c>
      <c r="B61" s="217"/>
      <c r="C61" s="217"/>
      <c r="D61" s="217"/>
      <c r="G61" s="78"/>
      <c r="H61" s="78"/>
      <c r="I61" s="78"/>
      <c r="J61" s="78"/>
      <c r="K61" s="78"/>
      <c r="L61" s="78"/>
      <c r="M61" s="78"/>
      <c r="N61" s="78"/>
      <c r="O61" s="78"/>
      <c r="P61" s="78"/>
      <c r="Q61" s="78"/>
      <c r="R61" s="78"/>
      <c r="S61" s="78"/>
      <c r="T61" s="78"/>
      <c r="U61" s="78"/>
    </row>
    <row r="62" spans="1:21" ht="12.9" customHeight="1" x14ac:dyDescent="0.3">
      <c r="A62" s="78" t="s">
        <v>155</v>
      </c>
      <c r="B62" s="64" t="e">
        <f>+'MS detail'!#REF!</f>
        <v>#REF!</v>
      </c>
      <c r="C62" s="64">
        <f>+'MS detail'!C123</f>
        <v>34191</v>
      </c>
      <c r="D62" s="64">
        <f>+'MS detail'!D123</f>
        <v>34191</v>
      </c>
      <c r="E62" s="64">
        <v>27241</v>
      </c>
      <c r="F62" s="64">
        <v>28395</v>
      </c>
    </row>
    <row r="63" spans="1:21" ht="12.9" customHeight="1" x14ac:dyDescent="0.3">
      <c r="A63" s="78" t="s">
        <v>154</v>
      </c>
      <c r="B63" s="64" t="e">
        <f>+'MS detail'!#REF!+'MS detail'!#REF!+'MS detail'!#REF!+'MS detail'!#REF!</f>
        <v>#REF!</v>
      </c>
      <c r="C63" s="64">
        <f>+'MS detail'!C124+'MS detail'!C125+'MS detail'!C126+'MS detail'!C130</f>
        <v>147700</v>
      </c>
      <c r="D63" s="64">
        <f>+'MS detail'!D124+'MS detail'!D125+'MS detail'!D126+'MS detail'!D130</f>
        <v>147700</v>
      </c>
      <c r="E63" s="64">
        <v>55000</v>
      </c>
      <c r="F63" s="64">
        <v>39740</v>
      </c>
    </row>
    <row r="64" spans="1:21" ht="12.9" customHeight="1" x14ac:dyDescent="0.3">
      <c r="A64" s="78" t="s">
        <v>46</v>
      </c>
      <c r="B64" s="103" t="e">
        <f>+'MS detail'!#REF!+'MS detail'!#REF!+'MS detail'!#REF!</f>
        <v>#REF!</v>
      </c>
      <c r="C64" s="103">
        <f>+'MS detail'!C127+'MS detail'!C128+'MS detail'!C129</f>
        <v>51000</v>
      </c>
      <c r="D64" s="103">
        <f>+'MS detail'!D127+'MS detail'!D128+'MS detail'!D129</f>
        <v>51000</v>
      </c>
      <c r="E64" s="78">
        <v>20000</v>
      </c>
      <c r="F64" s="78">
        <v>19041</v>
      </c>
    </row>
    <row r="65" spans="1:47" ht="12.9" customHeight="1" x14ac:dyDescent="0.3">
      <c r="A65" s="2" t="s">
        <v>33</v>
      </c>
      <c r="B65" s="2" t="e">
        <f>SUM(B62:B64)</f>
        <v>#REF!</v>
      </c>
      <c r="C65" s="2">
        <f>SUM(C62:C64)</f>
        <v>232891</v>
      </c>
      <c r="D65" s="2">
        <f>SUM(D62:D64)</f>
        <v>232891</v>
      </c>
      <c r="E65" s="2">
        <f>SUM(E62:E64)</f>
        <v>102241</v>
      </c>
      <c r="F65" s="2">
        <f>SUM(F62:F64)</f>
        <v>87176</v>
      </c>
    </row>
    <row r="66" spans="1:47" s="2" customFormat="1" ht="9" customHeight="1" x14ac:dyDescent="0.3">
      <c r="A66" s="78"/>
      <c r="B66" s="78"/>
      <c r="C66" s="78"/>
      <c r="D66" s="78"/>
      <c r="E66" s="78"/>
      <c r="F66" s="78"/>
    </row>
    <row r="67" spans="1:47" s="101" customFormat="1" ht="12.9" customHeight="1" x14ac:dyDescent="0.3">
      <c r="A67" s="216" t="s">
        <v>236</v>
      </c>
      <c r="B67" s="217"/>
      <c r="C67" s="217"/>
      <c r="D67" s="217"/>
      <c r="G67" s="78"/>
      <c r="H67" s="78"/>
      <c r="I67" s="78" t="s">
        <v>15</v>
      </c>
      <c r="J67" s="78"/>
      <c r="K67" s="78"/>
      <c r="L67" s="78"/>
      <c r="M67" s="78"/>
      <c r="N67" s="78"/>
      <c r="O67" s="78"/>
      <c r="P67" s="78"/>
      <c r="Q67" s="78"/>
      <c r="R67" s="78"/>
      <c r="S67" s="78"/>
      <c r="T67" s="78"/>
      <c r="U67" s="78"/>
    </row>
    <row r="68" spans="1:47" s="64" customFormat="1" ht="12" customHeight="1" x14ac:dyDescent="0.3">
      <c r="A68" s="75" t="s">
        <v>139</v>
      </c>
      <c r="B68" s="66" t="e">
        <f>+'MS detail'!#REF!</f>
        <v>#REF!</v>
      </c>
      <c r="C68" s="66">
        <f>+'MS detail'!C134</f>
        <v>5000</v>
      </c>
      <c r="D68" s="66">
        <f>+'MS detail'!D134</f>
        <v>5000</v>
      </c>
      <c r="E68" s="66">
        <v>5000</v>
      </c>
    </row>
    <row r="69" spans="1:47" s="57" customFormat="1" ht="12" customHeight="1" x14ac:dyDescent="0.3">
      <c r="A69" s="60" t="s">
        <v>239</v>
      </c>
      <c r="B69" s="51" t="e">
        <f>SUM(B68:B68)</f>
        <v>#REF!</v>
      </c>
      <c r="C69" s="51">
        <f>SUM(C68:C68)</f>
        <v>5000</v>
      </c>
      <c r="D69" s="51">
        <f>SUM(D68:D68)</f>
        <v>5000</v>
      </c>
      <c r="E69" s="51">
        <f>SUM(E68:E68)</f>
        <v>5000</v>
      </c>
      <c r="F69" s="51">
        <f>SUM(F68:F68)</f>
        <v>0</v>
      </c>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row>
    <row r="70" spans="1:47" s="57" customFormat="1" ht="10.5" customHeight="1" x14ac:dyDescent="0.3">
      <c r="A70" s="6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row>
    <row r="71" spans="1:47" s="101" customFormat="1" ht="12.9" customHeight="1" x14ac:dyDescent="0.3">
      <c r="A71" s="216" t="s">
        <v>53</v>
      </c>
      <c r="B71" s="217"/>
      <c r="C71" s="217"/>
      <c r="D71" s="217"/>
      <c r="G71" s="78"/>
      <c r="H71" s="78"/>
      <c r="I71" s="78" t="s">
        <v>15</v>
      </c>
      <c r="J71" s="78"/>
      <c r="K71" s="78"/>
      <c r="L71" s="78"/>
      <c r="M71" s="78"/>
      <c r="N71" s="78"/>
      <c r="O71" s="78"/>
      <c r="P71" s="78"/>
      <c r="Q71" s="78"/>
      <c r="R71" s="78"/>
      <c r="S71" s="78"/>
      <c r="T71" s="78"/>
      <c r="U71" s="78"/>
    </row>
    <row r="72" spans="1:47" ht="12.9" customHeight="1" x14ac:dyDescent="0.3">
      <c r="A72" s="78" t="s">
        <v>174</v>
      </c>
      <c r="B72" s="102" t="e">
        <f>+'MS detail'!#REF!</f>
        <v>#REF!</v>
      </c>
      <c r="C72" s="102">
        <f>+'MS detail'!C138</f>
        <v>44280</v>
      </c>
      <c r="D72" s="102">
        <f>+'MS detail'!D138</f>
        <v>44280</v>
      </c>
      <c r="E72" s="102">
        <v>44280</v>
      </c>
      <c r="F72" s="102">
        <v>33157</v>
      </c>
    </row>
    <row r="73" spans="1:47" ht="12.9" customHeight="1" x14ac:dyDescent="0.3">
      <c r="A73" s="78" t="s">
        <v>87</v>
      </c>
      <c r="B73" s="79" t="e">
        <f>+'MS detail'!#REF!</f>
        <v>#REF!</v>
      </c>
      <c r="C73" s="79">
        <f>+'MS detail'!C140</f>
        <v>50000</v>
      </c>
      <c r="D73" s="79">
        <f>+'MS detail'!D140</f>
        <v>50000</v>
      </c>
      <c r="E73" s="79">
        <v>50000</v>
      </c>
      <c r="F73" s="79">
        <v>65823</v>
      </c>
    </row>
    <row r="74" spans="1:47" ht="12.9" customHeight="1" x14ac:dyDescent="0.3">
      <c r="A74" s="78" t="s">
        <v>402</v>
      </c>
      <c r="B74" s="77" t="e">
        <f>+'MS detail'!#REF!+'MS detail'!#REF!</f>
        <v>#REF!</v>
      </c>
      <c r="C74" s="77">
        <f>+'MS detail'!C139+'MS detail'!C141</f>
        <v>22000</v>
      </c>
      <c r="D74" s="77">
        <f>+'MS detail'!D139+'MS detail'!D141</f>
        <v>22000</v>
      </c>
      <c r="E74" s="79">
        <v>15000</v>
      </c>
      <c r="F74" s="79">
        <v>12736</v>
      </c>
      <c r="H74" s="172" t="s">
        <v>15</v>
      </c>
    </row>
    <row r="75" spans="1:47" s="78" customFormat="1" ht="12.9" customHeight="1" x14ac:dyDescent="0.3">
      <c r="A75" s="78" t="s">
        <v>11</v>
      </c>
      <c r="B75" s="103" t="e">
        <f>+'MS detail'!#REF!</f>
        <v>#REF!</v>
      </c>
      <c r="C75" s="103">
        <f>+'MS detail'!C142</f>
        <v>30000</v>
      </c>
      <c r="D75" s="103">
        <f>+'MS detail'!D142</f>
        <v>30000</v>
      </c>
      <c r="E75" s="103">
        <v>30000</v>
      </c>
      <c r="F75" s="103">
        <v>16361</v>
      </c>
    </row>
    <row r="76" spans="1:47" ht="12.9" customHeight="1" x14ac:dyDescent="0.3">
      <c r="A76" s="2" t="s">
        <v>34</v>
      </c>
      <c r="B76" s="105" t="e">
        <f>SUM(B72:B75)</f>
        <v>#REF!</v>
      </c>
      <c r="C76" s="105">
        <f>SUM(C72:C75)</f>
        <v>146280</v>
      </c>
      <c r="D76" s="105">
        <f>SUM(D72:D75)</f>
        <v>146280</v>
      </c>
      <c r="E76" s="105">
        <f>SUM(E72:E75)</f>
        <v>139280</v>
      </c>
      <c r="F76" s="105">
        <f>SUM(F72:F75)</f>
        <v>128077</v>
      </c>
    </row>
    <row r="77" spans="1:47" s="104" customFormat="1" ht="8.25" customHeight="1" x14ac:dyDescent="0.3">
      <c r="A77" s="102"/>
      <c r="B77" s="79"/>
      <c r="C77" s="79"/>
      <c r="D77" s="79"/>
      <c r="E77" s="79"/>
      <c r="F77" s="79"/>
      <c r="G77" s="2"/>
      <c r="H77" s="2"/>
      <c r="I77" s="2"/>
      <c r="J77" s="2"/>
      <c r="K77" s="2"/>
      <c r="L77" s="2"/>
      <c r="M77" s="2"/>
      <c r="N77" s="2"/>
      <c r="O77" s="2"/>
      <c r="P77" s="2"/>
      <c r="Q77" s="2"/>
      <c r="R77" s="2"/>
      <c r="S77" s="2"/>
      <c r="T77" s="2"/>
      <c r="U77" s="2"/>
    </row>
    <row r="78" spans="1:47" s="101" customFormat="1" ht="12.9" customHeight="1" x14ac:dyDescent="0.3">
      <c r="A78" s="216" t="s">
        <v>145</v>
      </c>
      <c r="B78" s="222">
        <v>365000</v>
      </c>
      <c r="C78" s="222">
        <v>365000</v>
      </c>
      <c r="D78" s="222">
        <v>365000</v>
      </c>
      <c r="E78" s="109">
        <f>384000-2000</f>
        <v>382000</v>
      </c>
      <c r="F78" s="109">
        <v>392245</v>
      </c>
      <c r="G78" s="78" t="s">
        <v>342</v>
      </c>
      <c r="H78" s="78"/>
      <c r="I78" s="78"/>
      <c r="J78" s="78"/>
      <c r="K78" s="78"/>
      <c r="L78" s="78"/>
      <c r="M78" s="78"/>
      <c r="N78" s="78"/>
      <c r="O78" s="78"/>
      <c r="P78" s="78"/>
      <c r="Q78" s="78"/>
      <c r="R78" s="78"/>
      <c r="S78" s="78"/>
      <c r="T78" s="78"/>
      <c r="U78" s="78"/>
    </row>
    <row r="79" spans="1:47" ht="7.5" customHeight="1" x14ac:dyDescent="0.3">
      <c r="A79" s="102" t="s">
        <v>15</v>
      </c>
      <c r="B79" s="105" t="s">
        <v>15</v>
      </c>
      <c r="C79" s="105" t="s">
        <v>15</v>
      </c>
      <c r="D79" s="105" t="s">
        <v>15</v>
      </c>
      <c r="E79" s="105" t="s">
        <v>15</v>
      </c>
      <c r="F79" s="105" t="s">
        <v>15</v>
      </c>
    </row>
    <row r="80" spans="1:47" s="104" customFormat="1" ht="12.9" customHeight="1" x14ac:dyDescent="0.3">
      <c r="A80" s="216" t="s">
        <v>181</v>
      </c>
      <c r="B80" s="222">
        <v>14827</v>
      </c>
      <c r="C80" s="222">
        <v>14827</v>
      </c>
      <c r="D80" s="222">
        <v>14827</v>
      </c>
      <c r="E80" s="109">
        <v>14827</v>
      </c>
      <c r="F80" s="109">
        <v>13145</v>
      </c>
      <c r="G80" s="2"/>
      <c r="H80" s="2"/>
      <c r="I80" s="2"/>
      <c r="J80" s="2"/>
      <c r="K80" s="2"/>
      <c r="L80" s="2"/>
      <c r="M80" s="2"/>
      <c r="N80" s="2"/>
      <c r="O80" s="2"/>
      <c r="P80" s="2"/>
      <c r="Q80" s="2"/>
      <c r="R80" s="2"/>
      <c r="S80" s="2"/>
      <c r="T80" s="2"/>
      <c r="U80" s="2"/>
    </row>
    <row r="81" spans="1:30" ht="9.75" customHeight="1" x14ac:dyDescent="0.3">
      <c r="B81" s="79"/>
      <c r="C81" s="79"/>
      <c r="D81" s="79"/>
      <c r="E81" s="79"/>
      <c r="F81" s="79"/>
    </row>
    <row r="82" spans="1:30" s="101" customFormat="1" ht="12.9" customHeight="1" x14ac:dyDescent="0.3">
      <c r="A82" s="216" t="s">
        <v>146</v>
      </c>
      <c r="B82" s="216">
        <v>41707</v>
      </c>
      <c r="C82" s="216">
        <v>41707</v>
      </c>
      <c r="D82" s="216">
        <v>41707</v>
      </c>
      <c r="E82" s="1">
        <v>41707</v>
      </c>
      <c r="F82" s="1">
        <v>40562</v>
      </c>
      <c r="G82" s="78"/>
      <c r="H82" s="78"/>
      <c r="I82" s="78"/>
      <c r="J82" s="78"/>
      <c r="K82" s="78"/>
      <c r="L82" s="78"/>
      <c r="M82" s="78"/>
      <c r="N82" s="78"/>
      <c r="O82" s="78"/>
      <c r="P82" s="78"/>
      <c r="Q82" s="78"/>
      <c r="R82" s="78"/>
      <c r="S82" s="78"/>
      <c r="T82" s="78"/>
      <c r="U82" s="78"/>
    </row>
    <row r="83" spans="1:30" s="78" customFormat="1" ht="6.75" customHeight="1" x14ac:dyDescent="0.3">
      <c r="A83" s="2"/>
      <c r="B83" s="2"/>
      <c r="C83" s="2"/>
      <c r="D83" s="2"/>
      <c r="E83" s="2"/>
      <c r="F83" s="2"/>
    </row>
    <row r="84" spans="1:30" s="104" customFormat="1" ht="12.9" customHeight="1" x14ac:dyDescent="0.3">
      <c r="A84" s="216" t="s">
        <v>104</v>
      </c>
      <c r="B84" s="223">
        <v>0</v>
      </c>
      <c r="C84" s="223">
        <v>0</v>
      </c>
      <c r="D84" s="223">
        <v>0</v>
      </c>
      <c r="E84" s="112">
        <v>0</v>
      </c>
      <c r="F84" s="112"/>
      <c r="G84" s="2"/>
      <c r="H84" s="2"/>
      <c r="I84" s="2"/>
      <c r="J84" s="2"/>
      <c r="K84" s="2"/>
      <c r="L84" s="2"/>
      <c r="M84" s="2"/>
      <c r="N84" s="2"/>
      <c r="O84" s="2"/>
      <c r="P84" s="2"/>
      <c r="Q84" s="2"/>
      <c r="R84" s="2"/>
      <c r="S84" s="2"/>
      <c r="T84" s="2"/>
      <c r="U84" s="2"/>
    </row>
    <row r="85" spans="1:30" s="104" customFormat="1" ht="6.75" customHeight="1" x14ac:dyDescent="0.3">
      <c r="A85" s="102"/>
      <c r="B85" s="78"/>
      <c r="C85" s="78"/>
      <c r="D85" s="78"/>
      <c r="E85" s="78"/>
      <c r="F85" s="78"/>
      <c r="G85" s="2"/>
      <c r="H85" s="2"/>
      <c r="I85" s="2"/>
      <c r="J85" s="2"/>
      <c r="K85" s="2"/>
      <c r="L85" s="2"/>
      <c r="M85" s="2"/>
      <c r="N85" s="2"/>
      <c r="O85" s="2"/>
      <c r="P85" s="2"/>
      <c r="Q85" s="2"/>
      <c r="R85" s="2"/>
      <c r="S85" s="2"/>
      <c r="T85" s="2"/>
      <c r="U85" s="2"/>
    </row>
    <row r="86" spans="1:30" ht="15.75" customHeight="1" thickBot="1" x14ac:dyDescent="0.35">
      <c r="A86" s="216" t="s">
        <v>29</v>
      </c>
      <c r="B86" s="223" t="e">
        <f>+B82+B80+B78+B76+B65+B59+B54+B47+B40+B33+B26+B84+B69</f>
        <v>#REF!</v>
      </c>
      <c r="C86" s="223">
        <f>+C82+C80+C78+C76+C65+C59+C54+C47+C40+C33+C26+C84+C69</f>
        <v>3587510</v>
      </c>
      <c r="D86" s="223">
        <f>+D82+D80+D78+D76+D65+D59+D54+D47+D40+D33+D26+D84+D69</f>
        <v>3581030</v>
      </c>
      <c r="E86" s="112" t="e">
        <f>+E82+E80+E78+E76+E65+E59+E54+E47+E40+E33+E26+E84+E69</f>
        <v>#REF!</v>
      </c>
      <c r="F86" s="112" t="e">
        <f>+F82+F80+F78+F76+F65+F59+F54+F47+F40+F33+F26+F84</f>
        <v>#REF!</v>
      </c>
      <c r="G86" s="204" t="e">
        <f>+B86+B90+B92+B91</f>
        <v>#REF!</v>
      </c>
    </row>
    <row r="87" spans="1:30" s="78" customFormat="1" ht="6.75" customHeight="1" thickTop="1" x14ac:dyDescent="0.3">
      <c r="A87" s="2"/>
      <c r="B87" s="105"/>
      <c r="C87" s="105"/>
      <c r="D87" s="105"/>
      <c r="E87" s="105"/>
      <c r="F87" s="105"/>
    </row>
    <row r="88" spans="1:30" ht="16.5" customHeight="1" thickBot="1" x14ac:dyDescent="0.35">
      <c r="A88" s="224" t="s">
        <v>80</v>
      </c>
      <c r="B88" s="222" t="e">
        <f>+B16-B86</f>
        <v>#REF!</v>
      </c>
      <c r="C88" s="222">
        <f>+C16-C86</f>
        <v>50438</v>
      </c>
      <c r="D88" s="222">
        <f>+D16-D86</f>
        <v>8960.2900000000373</v>
      </c>
      <c r="E88" s="113" t="e">
        <f>+E16-E86</f>
        <v>#REF!</v>
      </c>
      <c r="F88" s="113" t="e">
        <f>+F16-F86</f>
        <v>#REF!</v>
      </c>
      <c r="H88" s="102"/>
      <c r="I88" s="102"/>
    </row>
    <row r="89" spans="1:30" s="78" customFormat="1" ht="12.75" customHeight="1" thickTop="1" x14ac:dyDescent="0.3">
      <c r="A89" s="60"/>
      <c r="B89" s="105"/>
      <c r="C89" s="105"/>
      <c r="D89" s="105"/>
      <c r="E89" s="105"/>
      <c r="F89" s="105"/>
      <c r="H89" s="79"/>
      <c r="I89" s="79"/>
    </row>
    <row r="90" spans="1:30" s="64" customFormat="1" ht="16.5" customHeight="1" x14ac:dyDescent="0.3">
      <c r="A90" s="64" t="s">
        <v>334</v>
      </c>
      <c r="B90" s="64" t="e">
        <f>+'MS detail'!#REF!</f>
        <v>#REF!</v>
      </c>
      <c r="C90" s="64">
        <f>+'MS detail'!C159</f>
        <v>114000</v>
      </c>
      <c r="D90" s="64">
        <f>+'MS detail'!D159</f>
        <v>114000</v>
      </c>
    </row>
    <row r="91" spans="1:30" s="64" customFormat="1" ht="16.5" customHeight="1" x14ac:dyDescent="0.3">
      <c r="A91" s="64" t="s">
        <v>370</v>
      </c>
      <c r="B91" s="64" t="e">
        <f>+'MS detail'!#REF!</f>
        <v>#REF!</v>
      </c>
      <c r="C91" s="64">
        <f>+'MS detail'!C160</f>
        <v>10200</v>
      </c>
      <c r="D91" s="64">
        <f>+'MS detail'!D160</f>
        <v>10200</v>
      </c>
    </row>
    <row r="92" spans="1:30" s="64" customFormat="1" ht="13.5" customHeight="1" x14ac:dyDescent="0.3">
      <c r="A92" s="64" t="s">
        <v>335</v>
      </c>
      <c r="B92" s="66" t="e">
        <f>+'MS detail'!#REF!</f>
        <v>#REF!</v>
      </c>
      <c r="C92" s="66">
        <f>+'MS detail'!C161</f>
        <v>30000</v>
      </c>
      <c r="D92" s="66">
        <f>+'MS detail'!D161</f>
        <v>30000</v>
      </c>
      <c r="E92" s="66"/>
      <c r="H92" s="76"/>
      <c r="I92" s="76"/>
    </row>
    <row r="93" spans="1:30" s="64" customFormat="1" ht="18.75" customHeight="1" x14ac:dyDescent="0.3">
      <c r="A93" s="225" t="s">
        <v>336</v>
      </c>
      <c r="B93" s="226" t="e">
        <f>+B88-B90-B91-B92</f>
        <v>#REF!</v>
      </c>
      <c r="C93" s="226">
        <f>+C88-C90-C91-C92</f>
        <v>-103762</v>
      </c>
      <c r="D93" s="226">
        <f>+D88-D90-D91-D92</f>
        <v>-145239.70999999996</v>
      </c>
      <c r="E93" s="64" t="e">
        <f>E88-E90-E92</f>
        <v>#REF!</v>
      </c>
      <c r="H93" s="76"/>
      <c r="I93" s="76"/>
    </row>
    <row r="94" spans="1:30" ht="13.5" customHeight="1" x14ac:dyDescent="0.3">
      <c r="A94" s="75" t="s">
        <v>210</v>
      </c>
      <c r="B94" s="2">
        <v>1468107</v>
      </c>
      <c r="C94" s="2">
        <v>1468107</v>
      </c>
      <c r="D94" s="2">
        <v>1468107</v>
      </c>
      <c r="E94" s="2">
        <v>1270891</v>
      </c>
      <c r="F94" s="2">
        <v>1322050</v>
      </c>
      <c r="H94" s="79"/>
      <c r="I94" s="79"/>
      <c r="V94" s="78"/>
      <c r="W94" s="78"/>
      <c r="X94" s="78"/>
      <c r="Y94" s="78"/>
      <c r="Z94" s="78"/>
      <c r="AA94" s="78"/>
      <c r="AB94" s="78"/>
      <c r="AC94" s="78"/>
      <c r="AD94" s="78"/>
    </row>
    <row r="95" spans="1:30" s="79" customFormat="1" ht="15" customHeight="1" thickBot="1" x14ac:dyDescent="0.35">
      <c r="A95" s="104" t="s">
        <v>278</v>
      </c>
      <c r="B95" s="176" t="e">
        <f>SUM(B93:B94)</f>
        <v>#REF!</v>
      </c>
      <c r="C95" s="176">
        <f>SUM(C93:C94)</f>
        <v>1364345</v>
      </c>
      <c r="D95" s="176">
        <f>SUM(D93:D94)</f>
        <v>1322867.29</v>
      </c>
      <c r="E95" s="176" t="e">
        <f>SUM(E93:E94)</f>
        <v>#REF!</v>
      </c>
      <c r="F95" s="176" t="e">
        <f>SUM(F88:F94)</f>
        <v>#REF!</v>
      </c>
      <c r="G95" s="78"/>
    </row>
    <row r="96" spans="1:30" ht="12.9" customHeight="1" thickTop="1" x14ac:dyDescent="0.3">
      <c r="B96" s="78"/>
      <c r="C96" s="78"/>
      <c r="D96" s="78"/>
      <c r="E96" s="78"/>
      <c r="F96" s="78"/>
      <c r="H96" s="79"/>
      <c r="I96" s="79"/>
    </row>
    <row r="97" spans="1:47" s="78" customFormat="1" ht="12.9" customHeight="1" x14ac:dyDescent="0.3">
      <c r="A97" s="102"/>
      <c r="H97" s="79"/>
      <c r="I97" s="79"/>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row>
    <row r="98" spans="1:47" s="78" customFormat="1" ht="12.9" customHeight="1" x14ac:dyDescent="0.3">
      <c r="A98" s="102"/>
      <c r="H98" s="79"/>
      <c r="I98" s="79"/>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row>
    <row r="99" spans="1:47" s="78" customFormat="1" ht="12.9" customHeight="1" x14ac:dyDescent="0.3">
      <c r="A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row>
    <row r="100" spans="1:47" s="78" customFormat="1" ht="12.9" customHeight="1" x14ac:dyDescent="0.3">
      <c r="A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row>
    <row r="101" spans="1:47" s="78" customFormat="1" ht="12.9" customHeight="1" x14ac:dyDescent="0.3">
      <c r="A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row>
    <row r="102" spans="1:47" s="78" customFormat="1" ht="12.9" customHeight="1" x14ac:dyDescent="0.3">
      <c r="A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row>
    <row r="103" spans="1:47" s="78" customFormat="1" ht="12.9" customHeight="1" x14ac:dyDescent="0.3">
      <c r="A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row>
    <row r="104" spans="1:47" s="78" customFormat="1" ht="12.9" customHeight="1" x14ac:dyDescent="0.3">
      <c r="A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row>
    <row r="105" spans="1:47" s="78" customFormat="1" ht="12.9" customHeight="1" x14ac:dyDescent="0.3">
      <c r="A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row>
    <row r="106" spans="1:47" s="78" customFormat="1" ht="12.9" customHeight="1" x14ac:dyDescent="0.3">
      <c r="A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row>
    <row r="107" spans="1:47" s="78" customFormat="1" ht="12.9" customHeight="1" x14ac:dyDescent="0.3">
      <c r="A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row>
    <row r="108" spans="1:47" s="78" customFormat="1" ht="12.9" customHeight="1" x14ac:dyDescent="0.3">
      <c r="A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row>
    <row r="109" spans="1:47" s="78" customFormat="1" ht="12.9" customHeight="1" x14ac:dyDescent="0.3">
      <c r="A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row>
    <row r="110" spans="1:47" s="78" customFormat="1" ht="12.9" customHeight="1" x14ac:dyDescent="0.3">
      <c r="A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row>
    <row r="111" spans="1:47" s="78" customFormat="1" ht="12.9" customHeight="1" x14ac:dyDescent="0.3">
      <c r="A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row>
    <row r="112" spans="1:47" s="78" customFormat="1" ht="12.9" customHeight="1" x14ac:dyDescent="0.3">
      <c r="A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row>
    <row r="113" spans="1:47" s="78" customFormat="1" ht="12.9" customHeight="1" x14ac:dyDescent="0.3">
      <c r="A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row>
    <row r="114" spans="1:47" s="78" customFormat="1" ht="12.9" customHeight="1" x14ac:dyDescent="0.3">
      <c r="A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row>
    <row r="115" spans="1:47" s="78" customFormat="1" ht="12.9" customHeight="1" x14ac:dyDescent="0.3">
      <c r="A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row>
    <row r="116" spans="1:47" s="78" customFormat="1" ht="12.9" customHeight="1" x14ac:dyDescent="0.3">
      <c r="A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row>
    <row r="117" spans="1:47" s="78" customFormat="1" ht="12.9" customHeight="1" x14ac:dyDescent="0.3">
      <c r="A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row>
    <row r="118" spans="1:47" s="78" customFormat="1" ht="12.9" customHeight="1" x14ac:dyDescent="0.3">
      <c r="A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row>
    <row r="119" spans="1:47" s="78" customFormat="1" ht="12.9" customHeight="1" x14ac:dyDescent="0.3">
      <c r="A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row>
    <row r="120" spans="1:47" s="78" customFormat="1" ht="12.9" customHeight="1" x14ac:dyDescent="0.3">
      <c r="A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row>
    <row r="121" spans="1:47" s="78" customFormat="1" ht="12.9" customHeight="1" x14ac:dyDescent="0.3">
      <c r="A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row>
    <row r="122" spans="1:47" s="78" customFormat="1" ht="12.9" customHeight="1" x14ac:dyDescent="0.3">
      <c r="A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row>
    <row r="123" spans="1:47" s="78" customFormat="1" ht="12.9" customHeight="1" x14ac:dyDescent="0.3">
      <c r="A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row>
    <row r="124" spans="1:47" s="78" customFormat="1" ht="12.9" customHeight="1" x14ac:dyDescent="0.3">
      <c r="A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row>
    <row r="125" spans="1:47" s="78" customFormat="1" ht="12.9" customHeight="1" x14ac:dyDescent="0.3">
      <c r="A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row>
    <row r="126" spans="1:47" s="78" customFormat="1" ht="12.9" customHeight="1" x14ac:dyDescent="0.3">
      <c r="A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row>
    <row r="127" spans="1:47" s="78" customFormat="1" ht="12.9" customHeight="1" x14ac:dyDescent="0.3">
      <c r="A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row>
    <row r="128" spans="1:47" s="78" customFormat="1" ht="12.9" customHeight="1" x14ac:dyDescent="0.3">
      <c r="A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row>
    <row r="129" spans="1:47" s="78" customFormat="1" ht="12.9" customHeight="1" x14ac:dyDescent="0.3">
      <c r="A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row>
    <row r="130" spans="1:47" s="78" customFormat="1" ht="12.9" customHeight="1" x14ac:dyDescent="0.3">
      <c r="A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row>
    <row r="131" spans="1:47" s="78" customFormat="1" ht="12.9" customHeight="1" x14ac:dyDescent="0.3">
      <c r="A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row>
    <row r="132" spans="1:47" s="78" customFormat="1" ht="12.9" customHeight="1" x14ac:dyDescent="0.3">
      <c r="A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c r="AP132" s="102"/>
      <c r="AQ132" s="102"/>
      <c r="AR132" s="102"/>
      <c r="AS132" s="102"/>
      <c r="AT132" s="102"/>
      <c r="AU132" s="102"/>
    </row>
    <row r="133" spans="1:47" s="78" customFormat="1" ht="12.9" customHeight="1" x14ac:dyDescent="0.3">
      <c r="A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row>
    <row r="134" spans="1:47" s="78" customFormat="1" ht="12.9" customHeight="1" x14ac:dyDescent="0.3">
      <c r="A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row>
    <row r="135" spans="1:47" s="78" customFormat="1" ht="12.9" customHeight="1" x14ac:dyDescent="0.3">
      <c r="A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row>
    <row r="136" spans="1:47" s="78" customFormat="1" ht="12.9" customHeight="1" x14ac:dyDescent="0.3">
      <c r="A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row>
    <row r="137" spans="1:47" s="78" customFormat="1" ht="12.9" customHeight="1" x14ac:dyDescent="0.3">
      <c r="A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row>
    <row r="138" spans="1:47" s="78" customFormat="1" ht="12.9" customHeight="1" x14ac:dyDescent="0.3">
      <c r="A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row>
    <row r="139" spans="1:47" s="78" customFormat="1" ht="12.9" customHeight="1" x14ac:dyDescent="0.3">
      <c r="A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c r="AP139" s="102"/>
      <c r="AQ139" s="102"/>
      <c r="AR139" s="102"/>
      <c r="AS139" s="102"/>
      <c r="AT139" s="102"/>
      <c r="AU139" s="102"/>
    </row>
    <row r="140" spans="1:47" s="78" customFormat="1" ht="12.9" customHeight="1" x14ac:dyDescent="0.3">
      <c r="A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row>
    <row r="141" spans="1:47" s="78" customFormat="1" ht="12.9" customHeight="1" x14ac:dyDescent="0.3">
      <c r="A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row>
    <row r="142" spans="1:47" s="78" customFormat="1" ht="12.9" customHeight="1" x14ac:dyDescent="0.3">
      <c r="A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row>
    <row r="143" spans="1:47" s="78" customFormat="1" ht="12.9" customHeight="1" x14ac:dyDescent="0.3">
      <c r="A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row>
    <row r="144" spans="1:47" s="78" customFormat="1" ht="12.9" customHeight="1" x14ac:dyDescent="0.3">
      <c r="A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row>
    <row r="145" spans="1:47" s="78" customFormat="1" ht="12.9" customHeight="1" x14ac:dyDescent="0.3">
      <c r="A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row>
    <row r="146" spans="1:47" s="78" customFormat="1" ht="12.9" customHeight="1" x14ac:dyDescent="0.3">
      <c r="A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row>
    <row r="147" spans="1:47" s="78" customFormat="1" ht="12.9" customHeight="1" x14ac:dyDescent="0.3">
      <c r="A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row>
    <row r="148" spans="1:47" s="78" customFormat="1" ht="12.9" customHeight="1" x14ac:dyDescent="0.3">
      <c r="A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row>
    <row r="149" spans="1:47" s="78" customFormat="1" ht="12.9" customHeight="1" x14ac:dyDescent="0.3">
      <c r="A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c r="AP149" s="102"/>
      <c r="AQ149" s="102"/>
      <c r="AR149" s="102"/>
      <c r="AS149" s="102"/>
      <c r="AT149" s="102"/>
      <c r="AU149" s="102"/>
    </row>
    <row r="150" spans="1:47" s="78" customFormat="1" ht="12.9" customHeight="1" x14ac:dyDescent="0.3">
      <c r="A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row>
    <row r="151" spans="1:47" s="78" customFormat="1" ht="12.9" customHeight="1" x14ac:dyDescent="0.3">
      <c r="A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row>
    <row r="152" spans="1:47" s="78" customFormat="1" ht="12.9" customHeight="1" x14ac:dyDescent="0.3">
      <c r="A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row>
    <row r="153" spans="1:47" s="78" customFormat="1" ht="12.9" customHeight="1" x14ac:dyDescent="0.3">
      <c r="A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row>
    <row r="154" spans="1:47" s="78" customFormat="1" ht="12.9" customHeight="1" x14ac:dyDescent="0.3">
      <c r="A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row>
    <row r="155" spans="1:47" s="78" customFormat="1" ht="12.9" customHeight="1" x14ac:dyDescent="0.3">
      <c r="A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row>
    <row r="156" spans="1:47" s="78" customFormat="1" ht="12.9" customHeight="1" x14ac:dyDescent="0.3">
      <c r="A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row>
    <row r="157" spans="1:47" s="78" customFormat="1" ht="12.9" customHeight="1" x14ac:dyDescent="0.3">
      <c r="A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row>
    <row r="158" spans="1:47" s="78" customFormat="1" ht="12.9" customHeight="1" x14ac:dyDescent="0.3">
      <c r="A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row>
    <row r="159" spans="1:47" s="78" customFormat="1" ht="12.9" customHeight="1" x14ac:dyDescent="0.3">
      <c r="A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02"/>
      <c r="AP159" s="102"/>
      <c r="AQ159" s="102"/>
      <c r="AR159" s="102"/>
      <c r="AS159" s="102"/>
      <c r="AT159" s="102"/>
      <c r="AU159" s="102"/>
    </row>
    <row r="160" spans="1:47" s="78" customFormat="1" ht="12.9" customHeight="1" x14ac:dyDescent="0.3">
      <c r="A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row>
    <row r="161" spans="1:47" s="78" customFormat="1" ht="12.6" customHeight="1" x14ac:dyDescent="0.3">
      <c r="A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row>
    <row r="162" spans="1:47" s="78" customFormat="1" ht="12.6" customHeight="1" x14ac:dyDescent="0.3">
      <c r="A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row>
    <row r="163" spans="1:47" s="78" customFormat="1" ht="12.6" customHeight="1" x14ac:dyDescent="0.3">
      <c r="A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row>
    <row r="164" spans="1:47" s="78" customFormat="1" ht="12.6" customHeight="1" x14ac:dyDescent="0.3">
      <c r="A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row>
    <row r="165" spans="1:47" s="78" customFormat="1" ht="12.6" customHeight="1" x14ac:dyDescent="0.3">
      <c r="A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row>
    <row r="166" spans="1:47" s="78" customFormat="1" ht="12.6" customHeight="1" x14ac:dyDescent="0.3">
      <c r="A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row>
    <row r="167" spans="1:47" s="78" customFormat="1" ht="12.6" customHeight="1" x14ac:dyDescent="0.3">
      <c r="A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row>
    <row r="168" spans="1:47" s="78" customFormat="1" ht="12.6" customHeight="1" x14ac:dyDescent="0.3">
      <c r="A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row>
    <row r="169" spans="1:47" s="78" customFormat="1" ht="12.6" customHeight="1" x14ac:dyDescent="0.3">
      <c r="A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row>
    <row r="170" spans="1:47" s="78" customFormat="1" ht="12.6" customHeight="1" x14ac:dyDescent="0.3">
      <c r="A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row>
    <row r="171" spans="1:47" s="78" customFormat="1" ht="12.6" customHeight="1" x14ac:dyDescent="0.3">
      <c r="A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row>
    <row r="172" spans="1:47" s="78" customFormat="1" ht="12.6" customHeight="1" x14ac:dyDescent="0.3">
      <c r="A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row>
    <row r="173" spans="1:47" s="78" customFormat="1" ht="12.6" customHeight="1" x14ac:dyDescent="0.3">
      <c r="A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row>
    <row r="174" spans="1:47" s="78" customFormat="1" ht="12.6" customHeight="1" x14ac:dyDescent="0.3">
      <c r="A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row>
    <row r="175" spans="1:47" s="78" customFormat="1" ht="12.6" customHeight="1" x14ac:dyDescent="0.3">
      <c r="A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row>
    <row r="176" spans="1:47" s="78" customFormat="1" ht="12.6" customHeight="1" x14ac:dyDescent="0.3">
      <c r="A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row>
    <row r="177" spans="1:47" s="78" customFormat="1" ht="12.6" customHeight="1" x14ac:dyDescent="0.3">
      <c r="A177" s="102"/>
      <c r="V177" s="102"/>
      <c r="W177" s="102"/>
      <c r="X177" s="102"/>
      <c r="Y177" s="102"/>
      <c r="Z177" s="102"/>
      <c r="AA177" s="102"/>
      <c r="AB177" s="102"/>
      <c r="AC177" s="102"/>
      <c r="AD177" s="102"/>
      <c r="AE177" s="102"/>
      <c r="AF177" s="102"/>
      <c r="AG177" s="102"/>
      <c r="AH177" s="102"/>
      <c r="AI177" s="102"/>
      <c r="AJ177" s="102"/>
      <c r="AK177" s="102"/>
      <c r="AL177" s="102"/>
      <c r="AM177" s="102"/>
      <c r="AN177" s="102"/>
      <c r="AO177" s="102"/>
      <c r="AP177" s="102"/>
      <c r="AQ177" s="102"/>
      <c r="AR177" s="102"/>
      <c r="AS177" s="102"/>
      <c r="AT177" s="102"/>
      <c r="AU177" s="102"/>
    </row>
    <row r="178" spans="1:47" s="78" customFormat="1" ht="12.6" customHeight="1" x14ac:dyDescent="0.3">
      <c r="A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row>
    <row r="179" spans="1:47" s="78" customFormat="1" ht="12.6" customHeight="1" x14ac:dyDescent="0.3">
      <c r="A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02"/>
      <c r="AP179" s="102"/>
      <c r="AQ179" s="102"/>
      <c r="AR179" s="102"/>
      <c r="AS179" s="102"/>
      <c r="AT179" s="102"/>
      <c r="AU179" s="102"/>
    </row>
    <row r="180" spans="1:47" s="78" customFormat="1" ht="12.6" customHeight="1" x14ac:dyDescent="0.3">
      <c r="A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row>
    <row r="181" spans="1:47" s="78" customFormat="1" ht="12.6" customHeight="1" x14ac:dyDescent="0.3">
      <c r="A181" s="102"/>
      <c r="V181" s="102"/>
      <c r="W181" s="102"/>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row>
    <row r="182" spans="1:47" s="78" customFormat="1" ht="12.6" customHeight="1" x14ac:dyDescent="0.3">
      <c r="A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row>
    <row r="183" spans="1:47" s="78" customFormat="1" ht="12.6" customHeight="1" x14ac:dyDescent="0.3">
      <c r="A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row>
    <row r="184" spans="1:47" s="78" customFormat="1" ht="12.6" customHeight="1" x14ac:dyDescent="0.3">
      <c r="A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row>
    <row r="185" spans="1:47" s="78" customFormat="1" ht="12.6" customHeight="1" x14ac:dyDescent="0.3">
      <c r="A185" s="102"/>
      <c r="V185" s="102"/>
      <c r="W185" s="102"/>
      <c r="X185" s="102"/>
      <c r="Y185" s="102"/>
      <c r="Z185" s="102"/>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row>
    <row r="186" spans="1:47" s="78" customFormat="1" ht="12.6" customHeight="1" x14ac:dyDescent="0.3">
      <c r="A186" s="102"/>
      <c r="V186" s="102"/>
      <c r="W186" s="102"/>
      <c r="X186" s="102"/>
      <c r="Y186" s="102"/>
      <c r="Z186" s="102"/>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row>
    <row r="187" spans="1:47" s="78" customFormat="1" ht="12.6" customHeight="1" x14ac:dyDescent="0.3">
      <c r="A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row>
    <row r="188" spans="1:47" s="78" customFormat="1" ht="12.6" customHeight="1" x14ac:dyDescent="0.3">
      <c r="A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row>
    <row r="189" spans="1:47" s="78" customFormat="1" ht="12.6" customHeight="1" x14ac:dyDescent="0.3">
      <c r="A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row>
    <row r="190" spans="1:47" s="78" customFormat="1" ht="12.6" customHeight="1" x14ac:dyDescent="0.3">
      <c r="A190" s="102"/>
      <c r="V190" s="102"/>
      <c r="W190" s="102"/>
      <c r="X190" s="102"/>
      <c r="Y190" s="102"/>
      <c r="Z190" s="102"/>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row>
    <row r="191" spans="1:47" s="78" customFormat="1" ht="12.6" customHeight="1" x14ac:dyDescent="0.3">
      <c r="A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row>
    <row r="192" spans="1:47" s="78" customFormat="1" ht="12.6" customHeight="1" x14ac:dyDescent="0.3">
      <c r="A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row>
    <row r="193" spans="1:47" s="78" customFormat="1" ht="12.6" customHeight="1" x14ac:dyDescent="0.3">
      <c r="A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row>
    <row r="194" spans="1:47" s="78" customFormat="1" ht="12.6" customHeight="1" x14ac:dyDescent="0.3">
      <c r="A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c r="AP194" s="102"/>
      <c r="AQ194" s="102"/>
      <c r="AR194" s="102"/>
      <c r="AS194" s="102"/>
      <c r="AT194" s="102"/>
      <c r="AU194" s="102"/>
    </row>
    <row r="195" spans="1:47" s="78" customFormat="1" ht="12.6" customHeight="1" x14ac:dyDescent="0.3">
      <c r="A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row>
    <row r="196" spans="1:47" s="78" customFormat="1" ht="12.6" customHeight="1" x14ac:dyDescent="0.3">
      <c r="A196" s="102"/>
      <c r="V196" s="102"/>
      <c r="W196" s="102"/>
      <c r="X196" s="102"/>
      <c r="Y196" s="102"/>
      <c r="Z196" s="102"/>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row>
    <row r="197" spans="1:47" s="78" customFormat="1" ht="12.6" customHeight="1" x14ac:dyDescent="0.3">
      <c r="A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row>
    <row r="198" spans="1:47" s="78" customFormat="1" ht="12.6" customHeight="1" x14ac:dyDescent="0.3">
      <c r="A198" s="102"/>
      <c r="V198" s="102"/>
      <c r="W198" s="102"/>
      <c r="X198" s="102"/>
      <c r="Y198" s="102"/>
      <c r="Z198" s="102"/>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row>
    <row r="199" spans="1:47" s="78" customFormat="1" ht="12.6" customHeight="1" x14ac:dyDescent="0.3">
      <c r="A199" s="102"/>
      <c r="V199" s="102"/>
      <c r="W199" s="102"/>
      <c r="X199" s="102"/>
      <c r="Y199" s="102"/>
      <c r="Z199" s="102"/>
      <c r="AA199" s="102"/>
      <c r="AB199" s="102"/>
      <c r="AC199" s="102"/>
      <c r="AD199" s="102"/>
      <c r="AE199" s="102"/>
      <c r="AF199" s="102"/>
      <c r="AG199" s="102"/>
      <c r="AH199" s="102"/>
      <c r="AI199" s="102"/>
      <c r="AJ199" s="102"/>
      <c r="AK199" s="102"/>
      <c r="AL199" s="102"/>
      <c r="AM199" s="102"/>
      <c r="AN199" s="102"/>
      <c r="AO199" s="102"/>
      <c r="AP199" s="102"/>
      <c r="AQ199" s="102"/>
      <c r="AR199" s="102"/>
      <c r="AS199" s="102"/>
      <c r="AT199" s="102"/>
      <c r="AU199" s="102"/>
    </row>
    <row r="200" spans="1:47" s="78" customFormat="1" ht="12.6" customHeight="1" x14ac:dyDescent="0.3">
      <c r="A200" s="102"/>
      <c r="V200" s="102"/>
      <c r="W200" s="102"/>
      <c r="X200" s="102"/>
      <c r="Y200" s="102"/>
      <c r="Z200" s="102"/>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row>
    <row r="201" spans="1:47" s="78" customFormat="1" ht="12.6" customHeight="1" x14ac:dyDescent="0.3">
      <c r="A201" s="102"/>
      <c r="V201" s="102"/>
      <c r="W201" s="102"/>
      <c r="X201" s="102"/>
      <c r="Y201" s="102"/>
      <c r="Z201" s="102"/>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row>
    <row r="202" spans="1:47" s="78" customFormat="1" ht="12.6" customHeight="1" x14ac:dyDescent="0.3">
      <c r="A202" s="102"/>
      <c r="V202" s="102"/>
      <c r="W202" s="102"/>
      <c r="X202" s="102"/>
      <c r="Y202" s="102"/>
      <c r="Z202" s="102"/>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row>
    <row r="203" spans="1:47" s="78" customFormat="1" ht="12.6" customHeight="1" x14ac:dyDescent="0.3">
      <c r="A203" s="102"/>
      <c r="V203" s="102"/>
      <c r="W203" s="102"/>
      <c r="X203" s="102"/>
      <c r="Y203" s="102"/>
      <c r="Z203" s="102"/>
      <c r="AA203" s="102"/>
      <c r="AB203" s="102"/>
      <c r="AC203" s="102"/>
      <c r="AD203" s="102"/>
      <c r="AE203" s="102"/>
      <c r="AF203" s="102"/>
      <c r="AG203" s="102"/>
      <c r="AH203" s="102"/>
      <c r="AI203" s="102"/>
      <c r="AJ203" s="102"/>
      <c r="AK203" s="102"/>
      <c r="AL203" s="102"/>
      <c r="AM203" s="102"/>
      <c r="AN203" s="102"/>
      <c r="AO203" s="102"/>
      <c r="AP203" s="102"/>
      <c r="AQ203" s="102"/>
      <c r="AR203" s="102"/>
      <c r="AS203" s="102"/>
      <c r="AT203" s="102"/>
      <c r="AU203" s="102"/>
    </row>
    <row r="204" spans="1:47" s="78" customFormat="1" ht="12.6" customHeight="1" x14ac:dyDescent="0.3">
      <c r="A204" s="102"/>
      <c r="V204" s="102"/>
      <c r="W204" s="102"/>
      <c r="X204" s="102"/>
      <c r="Y204" s="102"/>
      <c r="Z204" s="102"/>
      <c r="AA204" s="102"/>
      <c r="AB204" s="102"/>
      <c r="AC204" s="102"/>
      <c r="AD204" s="102"/>
      <c r="AE204" s="102"/>
      <c r="AF204" s="102"/>
      <c r="AG204" s="102"/>
      <c r="AH204" s="102"/>
      <c r="AI204" s="102"/>
      <c r="AJ204" s="102"/>
      <c r="AK204" s="102"/>
      <c r="AL204" s="102"/>
      <c r="AM204" s="102"/>
      <c r="AN204" s="102"/>
      <c r="AO204" s="102"/>
      <c r="AP204" s="102"/>
      <c r="AQ204" s="102"/>
      <c r="AR204" s="102"/>
      <c r="AS204" s="102"/>
      <c r="AT204" s="102"/>
      <c r="AU204" s="102"/>
    </row>
    <row r="205" spans="1:47" s="78" customFormat="1" ht="12.6" customHeight="1" x14ac:dyDescent="0.3">
      <c r="A205" s="102"/>
      <c r="V205" s="102"/>
      <c r="W205" s="102"/>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row>
    <row r="206" spans="1:47" s="78" customFormat="1" ht="12.6" customHeight="1" x14ac:dyDescent="0.3">
      <c r="A206" s="102"/>
      <c r="V206" s="102"/>
      <c r="W206" s="102"/>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row>
    <row r="207" spans="1:47" s="78" customFormat="1" ht="12.6" customHeight="1" x14ac:dyDescent="0.3">
      <c r="A207" s="102"/>
      <c r="V207" s="102"/>
      <c r="W207" s="102"/>
      <c r="X207" s="102"/>
      <c r="Y207" s="102"/>
      <c r="Z207" s="102"/>
      <c r="AA207" s="102"/>
      <c r="AB207" s="102"/>
      <c r="AC207" s="102"/>
      <c r="AD207" s="102"/>
      <c r="AE207" s="102"/>
      <c r="AF207" s="102"/>
      <c r="AG207" s="102"/>
      <c r="AH207" s="102"/>
      <c r="AI207" s="102"/>
      <c r="AJ207" s="102"/>
      <c r="AK207" s="102"/>
      <c r="AL207" s="102"/>
      <c r="AM207" s="102"/>
      <c r="AN207" s="102"/>
      <c r="AO207" s="102"/>
      <c r="AP207" s="102"/>
      <c r="AQ207" s="102"/>
      <c r="AR207" s="102"/>
      <c r="AS207" s="102"/>
      <c r="AT207" s="102"/>
      <c r="AU207" s="102"/>
    </row>
    <row r="208" spans="1:47" s="78" customFormat="1" ht="12.6" customHeight="1" x14ac:dyDescent="0.3">
      <c r="A208" s="102"/>
      <c r="V208" s="102"/>
      <c r="W208" s="102"/>
      <c r="X208" s="102"/>
      <c r="Y208" s="102"/>
      <c r="Z208" s="102"/>
      <c r="AA208" s="102"/>
      <c r="AB208" s="102"/>
      <c r="AC208" s="102"/>
      <c r="AD208" s="102"/>
      <c r="AE208" s="102"/>
      <c r="AF208" s="102"/>
      <c r="AG208" s="102"/>
      <c r="AH208" s="102"/>
      <c r="AI208" s="102"/>
      <c r="AJ208" s="102"/>
      <c r="AK208" s="102"/>
      <c r="AL208" s="102"/>
      <c r="AM208" s="102"/>
      <c r="AN208" s="102"/>
      <c r="AO208" s="102"/>
      <c r="AP208" s="102"/>
      <c r="AQ208" s="102"/>
      <c r="AR208" s="102"/>
      <c r="AS208" s="102"/>
      <c r="AT208" s="102"/>
      <c r="AU208" s="102"/>
    </row>
    <row r="209" spans="1:47" s="78" customFormat="1" ht="12.6" customHeight="1" x14ac:dyDescent="0.3">
      <c r="A209" s="102"/>
      <c r="V209" s="102"/>
      <c r="W209" s="102"/>
      <c r="X209" s="102"/>
      <c r="Y209" s="102"/>
      <c r="Z209" s="102"/>
      <c r="AA209" s="102"/>
      <c r="AB209" s="102"/>
      <c r="AC209" s="102"/>
      <c r="AD209" s="102"/>
      <c r="AE209" s="102"/>
      <c r="AF209" s="102"/>
      <c r="AG209" s="102"/>
      <c r="AH209" s="102"/>
      <c r="AI209" s="102"/>
      <c r="AJ209" s="102"/>
      <c r="AK209" s="102"/>
      <c r="AL209" s="102"/>
      <c r="AM209" s="102"/>
      <c r="AN209" s="102"/>
      <c r="AO209" s="102"/>
      <c r="AP209" s="102"/>
      <c r="AQ209" s="102"/>
      <c r="AR209" s="102"/>
      <c r="AS209" s="102"/>
      <c r="AT209" s="102"/>
      <c r="AU209" s="102"/>
    </row>
    <row r="210" spans="1:47" s="78" customFormat="1" ht="12.6" customHeight="1" x14ac:dyDescent="0.3">
      <c r="A210" s="102"/>
      <c r="V210" s="102"/>
      <c r="W210" s="102"/>
      <c r="X210" s="102"/>
      <c r="Y210" s="102"/>
      <c r="Z210" s="102"/>
      <c r="AA210" s="102"/>
      <c r="AB210" s="102"/>
      <c r="AC210" s="102"/>
      <c r="AD210" s="102"/>
      <c r="AE210" s="102"/>
      <c r="AF210" s="102"/>
      <c r="AG210" s="102"/>
      <c r="AH210" s="102"/>
      <c r="AI210" s="102"/>
      <c r="AJ210" s="102"/>
      <c r="AK210" s="102"/>
      <c r="AL210" s="102"/>
      <c r="AM210" s="102"/>
      <c r="AN210" s="102"/>
      <c r="AO210" s="102"/>
      <c r="AP210" s="102"/>
      <c r="AQ210" s="102"/>
      <c r="AR210" s="102"/>
      <c r="AS210" s="102"/>
      <c r="AT210" s="102"/>
      <c r="AU210" s="102"/>
    </row>
    <row r="211" spans="1:47" s="78" customFormat="1" ht="12.6" customHeight="1" x14ac:dyDescent="0.3">
      <c r="A211" s="102"/>
      <c r="V211" s="102"/>
      <c r="W211" s="102"/>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row>
    <row r="212" spans="1:47" s="78" customFormat="1" ht="12.6" customHeight="1" x14ac:dyDescent="0.3">
      <c r="A212" s="102"/>
      <c r="V212" s="102"/>
      <c r="W212" s="102"/>
      <c r="X212" s="102"/>
      <c r="Y212" s="102"/>
      <c r="Z212" s="102"/>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row>
    <row r="213" spans="1:47" s="78" customFormat="1" ht="12.6" customHeight="1" x14ac:dyDescent="0.3">
      <c r="A213" s="102"/>
      <c r="V213" s="102"/>
      <c r="W213" s="102"/>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row>
    <row r="214" spans="1:47" s="78" customFormat="1" ht="12.6" customHeight="1" x14ac:dyDescent="0.3">
      <c r="A214" s="102"/>
      <c r="V214" s="102"/>
      <c r="W214" s="102"/>
      <c r="X214" s="102"/>
      <c r="Y214" s="102"/>
      <c r="Z214" s="102"/>
      <c r="AA214" s="102"/>
      <c r="AB214" s="102"/>
      <c r="AC214" s="102"/>
      <c r="AD214" s="102"/>
      <c r="AE214" s="102"/>
      <c r="AF214" s="102"/>
      <c r="AG214" s="102"/>
      <c r="AH214" s="102"/>
      <c r="AI214" s="102"/>
      <c r="AJ214" s="102"/>
      <c r="AK214" s="102"/>
      <c r="AL214" s="102"/>
      <c r="AM214" s="102"/>
      <c r="AN214" s="102"/>
      <c r="AO214" s="102"/>
      <c r="AP214" s="102"/>
      <c r="AQ214" s="102"/>
      <c r="AR214" s="102"/>
      <c r="AS214" s="102"/>
      <c r="AT214" s="102"/>
      <c r="AU214" s="102"/>
    </row>
    <row r="215" spans="1:47" s="78" customFormat="1" ht="12.6" customHeight="1" x14ac:dyDescent="0.3">
      <c r="A215" s="102"/>
      <c r="V215" s="102"/>
      <c r="W215" s="102"/>
      <c r="X215" s="102"/>
      <c r="Y215" s="102"/>
      <c r="Z215" s="102"/>
      <c r="AA215" s="102"/>
      <c r="AB215" s="102"/>
      <c r="AC215" s="102"/>
      <c r="AD215" s="102"/>
      <c r="AE215" s="102"/>
      <c r="AF215" s="102"/>
      <c r="AG215" s="102"/>
      <c r="AH215" s="102"/>
      <c r="AI215" s="102"/>
      <c r="AJ215" s="102"/>
      <c r="AK215" s="102"/>
      <c r="AL215" s="102"/>
      <c r="AM215" s="102"/>
      <c r="AN215" s="102"/>
      <c r="AO215" s="102"/>
      <c r="AP215" s="102"/>
      <c r="AQ215" s="102"/>
      <c r="AR215" s="102"/>
      <c r="AS215" s="102"/>
      <c r="AT215" s="102"/>
      <c r="AU215" s="102"/>
    </row>
    <row r="216" spans="1:47" s="78" customFormat="1" ht="12.6" customHeight="1" x14ac:dyDescent="0.3">
      <c r="A216" s="102"/>
      <c r="V216" s="102"/>
      <c r="W216" s="102"/>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row>
    <row r="217" spans="1:47" s="78" customFormat="1" ht="12.6" customHeight="1" x14ac:dyDescent="0.3">
      <c r="A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row>
    <row r="218" spans="1:47" s="78" customFormat="1" ht="12.6" customHeight="1" x14ac:dyDescent="0.3">
      <c r="A218" s="102"/>
      <c r="V218" s="102"/>
      <c r="W218" s="102"/>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row>
    <row r="219" spans="1:47" s="78" customFormat="1" ht="12.6" customHeight="1" x14ac:dyDescent="0.3">
      <c r="A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row>
    <row r="220" spans="1:47" s="78" customFormat="1" ht="12.6" customHeight="1" x14ac:dyDescent="0.3">
      <c r="A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c r="AP220" s="102"/>
      <c r="AQ220" s="102"/>
      <c r="AR220" s="102"/>
      <c r="AS220" s="102"/>
      <c r="AT220" s="102"/>
      <c r="AU220" s="102"/>
    </row>
    <row r="221" spans="1:47" s="78" customFormat="1" ht="12.6" customHeight="1" x14ac:dyDescent="0.3">
      <c r="A221" s="102"/>
      <c r="V221" s="102"/>
      <c r="W221" s="102"/>
      <c r="X221" s="102"/>
      <c r="Y221" s="102"/>
      <c r="Z221" s="102"/>
      <c r="AA221" s="102"/>
      <c r="AB221" s="102"/>
      <c r="AC221" s="102"/>
      <c r="AD221" s="102"/>
      <c r="AE221" s="102"/>
      <c r="AF221" s="102"/>
      <c r="AG221" s="102"/>
      <c r="AH221" s="102"/>
      <c r="AI221" s="102"/>
      <c r="AJ221" s="102"/>
      <c r="AK221" s="102"/>
      <c r="AL221" s="102"/>
      <c r="AM221" s="102"/>
      <c r="AN221" s="102"/>
      <c r="AO221" s="102"/>
      <c r="AP221" s="102"/>
      <c r="AQ221" s="102"/>
      <c r="AR221" s="102"/>
      <c r="AS221" s="102"/>
      <c r="AT221" s="102"/>
      <c r="AU221" s="102"/>
    </row>
    <row r="222" spans="1:47" s="78" customFormat="1" ht="12.6" customHeight="1" x14ac:dyDescent="0.3">
      <c r="A222" s="102"/>
      <c r="V222" s="102"/>
      <c r="W222" s="102"/>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row>
    <row r="223" spans="1:47" s="78" customFormat="1" ht="12.6" customHeight="1" x14ac:dyDescent="0.3">
      <c r="A223" s="102"/>
      <c r="V223" s="102"/>
      <c r="W223" s="102"/>
      <c r="X223" s="102"/>
      <c r="Y223" s="102"/>
      <c r="Z223" s="102"/>
      <c r="AA223" s="102"/>
      <c r="AB223" s="102"/>
      <c r="AC223" s="102"/>
      <c r="AD223" s="102"/>
      <c r="AE223" s="102"/>
      <c r="AF223" s="102"/>
      <c r="AG223" s="102"/>
      <c r="AH223" s="102"/>
      <c r="AI223" s="102"/>
      <c r="AJ223" s="102"/>
      <c r="AK223" s="102"/>
      <c r="AL223" s="102"/>
      <c r="AM223" s="102"/>
      <c r="AN223" s="102"/>
      <c r="AO223" s="102"/>
      <c r="AP223" s="102"/>
      <c r="AQ223" s="102"/>
      <c r="AR223" s="102"/>
      <c r="AS223" s="102"/>
      <c r="AT223" s="102"/>
      <c r="AU223" s="102"/>
    </row>
    <row r="224" spans="1:47" s="78" customFormat="1" ht="12.6" customHeight="1" x14ac:dyDescent="0.3">
      <c r="A224" s="102"/>
      <c r="V224" s="102"/>
      <c r="W224" s="102"/>
      <c r="X224" s="102"/>
      <c r="Y224" s="102"/>
      <c r="Z224" s="102"/>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row>
    <row r="225" spans="1:47" s="78" customFormat="1" ht="12.6" customHeight="1" x14ac:dyDescent="0.3">
      <c r="A225" s="102"/>
      <c r="V225" s="102"/>
      <c r="W225" s="102"/>
      <c r="X225" s="102"/>
      <c r="Y225" s="102"/>
      <c r="Z225" s="102"/>
      <c r="AA225" s="102"/>
      <c r="AB225" s="102"/>
      <c r="AC225" s="102"/>
      <c r="AD225" s="102"/>
      <c r="AE225" s="102"/>
      <c r="AF225" s="102"/>
      <c r="AG225" s="102"/>
      <c r="AH225" s="102"/>
      <c r="AI225" s="102"/>
      <c r="AJ225" s="102"/>
      <c r="AK225" s="102"/>
      <c r="AL225" s="102"/>
      <c r="AM225" s="102"/>
      <c r="AN225" s="102"/>
      <c r="AO225" s="102"/>
      <c r="AP225" s="102"/>
      <c r="AQ225" s="102"/>
      <c r="AR225" s="102"/>
      <c r="AS225" s="102"/>
      <c r="AT225" s="102"/>
      <c r="AU225" s="102"/>
    </row>
    <row r="226" spans="1:47" s="78" customFormat="1" ht="12.6" customHeight="1" x14ac:dyDescent="0.3">
      <c r="A226" s="102"/>
      <c r="V226" s="102"/>
      <c r="W226" s="102"/>
      <c r="X226" s="102"/>
      <c r="Y226" s="102"/>
      <c r="Z226" s="102"/>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row>
    <row r="227" spans="1:47" s="78" customFormat="1" ht="12.6" customHeight="1" x14ac:dyDescent="0.3">
      <c r="A227" s="102"/>
      <c r="V227" s="102"/>
      <c r="W227" s="102"/>
      <c r="X227" s="102"/>
      <c r="Y227" s="102"/>
      <c r="Z227" s="102"/>
      <c r="AA227" s="102"/>
      <c r="AB227" s="102"/>
      <c r="AC227" s="102"/>
      <c r="AD227" s="102"/>
      <c r="AE227" s="102"/>
      <c r="AF227" s="102"/>
      <c r="AG227" s="102"/>
      <c r="AH227" s="102"/>
      <c r="AI227" s="102"/>
      <c r="AJ227" s="102"/>
      <c r="AK227" s="102"/>
      <c r="AL227" s="102"/>
      <c r="AM227" s="102"/>
      <c r="AN227" s="102"/>
      <c r="AO227" s="102"/>
      <c r="AP227" s="102"/>
      <c r="AQ227" s="102"/>
      <c r="AR227" s="102"/>
      <c r="AS227" s="102"/>
      <c r="AT227" s="102"/>
      <c r="AU227" s="102"/>
    </row>
    <row r="228" spans="1:47" s="78" customFormat="1" ht="12.6" customHeight="1" x14ac:dyDescent="0.3">
      <c r="A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row>
    <row r="229" spans="1:47" s="78" customFormat="1" ht="12.6" customHeight="1" x14ac:dyDescent="0.3">
      <c r="A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row>
    <row r="230" spans="1:47" s="78" customFormat="1" ht="12.6" customHeight="1" x14ac:dyDescent="0.3">
      <c r="A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row>
    <row r="231" spans="1:47" s="78" customFormat="1" ht="12.6" customHeight="1" x14ac:dyDescent="0.3">
      <c r="A231" s="102"/>
      <c r="V231" s="102"/>
      <c r="W231" s="102"/>
      <c r="X231" s="102"/>
      <c r="Y231" s="102"/>
      <c r="Z231" s="102"/>
      <c r="AA231" s="102"/>
      <c r="AB231" s="102"/>
      <c r="AC231" s="102"/>
      <c r="AD231" s="102"/>
      <c r="AE231" s="102"/>
      <c r="AF231" s="102"/>
      <c r="AG231" s="102"/>
      <c r="AH231" s="102"/>
      <c r="AI231" s="102"/>
      <c r="AJ231" s="102"/>
      <c r="AK231" s="102"/>
      <c r="AL231" s="102"/>
      <c r="AM231" s="102"/>
      <c r="AN231" s="102"/>
      <c r="AO231" s="102"/>
      <c r="AP231" s="102"/>
      <c r="AQ231" s="102"/>
      <c r="AR231" s="102"/>
      <c r="AS231" s="102"/>
      <c r="AT231" s="102"/>
      <c r="AU231" s="102"/>
    </row>
    <row r="232" spans="1:47" s="78" customFormat="1" ht="12.6" customHeight="1" x14ac:dyDescent="0.3">
      <c r="A232" s="102"/>
      <c r="V232" s="102"/>
      <c r="W232" s="102"/>
      <c r="X232" s="102"/>
      <c r="Y232" s="102"/>
      <c r="Z232" s="102"/>
      <c r="AA232" s="102"/>
      <c r="AB232" s="102"/>
      <c r="AC232" s="102"/>
      <c r="AD232" s="102"/>
      <c r="AE232" s="102"/>
      <c r="AF232" s="102"/>
      <c r="AG232" s="102"/>
      <c r="AH232" s="102"/>
      <c r="AI232" s="102"/>
      <c r="AJ232" s="102"/>
      <c r="AK232" s="102"/>
      <c r="AL232" s="102"/>
      <c r="AM232" s="102"/>
      <c r="AN232" s="102"/>
      <c r="AO232" s="102"/>
      <c r="AP232" s="102"/>
      <c r="AQ232" s="102"/>
      <c r="AR232" s="102"/>
      <c r="AS232" s="102"/>
      <c r="AT232" s="102"/>
      <c r="AU232" s="102"/>
    </row>
    <row r="233" spans="1:47" s="78" customFormat="1" ht="12.6" customHeight="1" x14ac:dyDescent="0.3">
      <c r="A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row>
    <row r="234" spans="1:47" s="78" customFormat="1" ht="12.6" customHeight="1" x14ac:dyDescent="0.3">
      <c r="A234" s="102"/>
      <c r="V234" s="102"/>
      <c r="W234" s="102"/>
      <c r="X234" s="102"/>
      <c r="Y234" s="102"/>
      <c r="Z234" s="102"/>
      <c r="AA234" s="102"/>
      <c r="AB234" s="102"/>
      <c r="AC234" s="102"/>
      <c r="AD234" s="102"/>
      <c r="AE234" s="102"/>
      <c r="AF234" s="102"/>
      <c r="AG234" s="102"/>
      <c r="AH234" s="102"/>
      <c r="AI234" s="102"/>
      <c r="AJ234" s="102"/>
      <c r="AK234" s="102"/>
      <c r="AL234" s="102"/>
      <c r="AM234" s="102"/>
      <c r="AN234" s="102"/>
      <c r="AO234" s="102"/>
      <c r="AP234" s="102"/>
      <c r="AQ234" s="102"/>
      <c r="AR234" s="102"/>
      <c r="AS234" s="102"/>
      <c r="AT234" s="102"/>
      <c r="AU234" s="102"/>
    </row>
    <row r="235" spans="1:47" s="78" customFormat="1" ht="12.6" customHeight="1" x14ac:dyDescent="0.3">
      <c r="A235" s="102"/>
      <c r="V235" s="102"/>
      <c r="W235" s="102"/>
      <c r="X235" s="102"/>
      <c r="Y235" s="102"/>
      <c r="Z235" s="102"/>
      <c r="AA235" s="102"/>
      <c r="AB235" s="102"/>
      <c r="AC235" s="102"/>
      <c r="AD235" s="102"/>
      <c r="AE235" s="102"/>
      <c r="AF235" s="102"/>
      <c r="AG235" s="102"/>
      <c r="AH235" s="102"/>
      <c r="AI235" s="102"/>
      <c r="AJ235" s="102"/>
      <c r="AK235" s="102"/>
      <c r="AL235" s="102"/>
      <c r="AM235" s="102"/>
      <c r="AN235" s="102"/>
      <c r="AO235" s="102"/>
      <c r="AP235" s="102"/>
      <c r="AQ235" s="102"/>
      <c r="AR235" s="102"/>
      <c r="AS235" s="102"/>
      <c r="AT235" s="102"/>
      <c r="AU235" s="102"/>
    </row>
    <row r="236" spans="1:47" s="78" customFormat="1" ht="12.6" customHeight="1" x14ac:dyDescent="0.3">
      <c r="A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row>
    <row r="237" spans="1:47" s="78" customFormat="1" ht="12.6" customHeight="1" x14ac:dyDescent="0.3">
      <c r="A237" s="102"/>
      <c r="V237" s="102"/>
      <c r="W237" s="102"/>
      <c r="X237" s="102"/>
      <c r="Y237" s="102"/>
      <c r="Z237" s="102"/>
      <c r="AA237" s="102"/>
      <c r="AB237" s="102"/>
      <c r="AC237" s="102"/>
      <c r="AD237" s="102"/>
      <c r="AE237" s="102"/>
      <c r="AF237" s="102"/>
      <c r="AG237" s="102"/>
      <c r="AH237" s="102"/>
      <c r="AI237" s="102"/>
      <c r="AJ237" s="102"/>
      <c r="AK237" s="102"/>
      <c r="AL237" s="102"/>
      <c r="AM237" s="102"/>
      <c r="AN237" s="102"/>
      <c r="AO237" s="102"/>
      <c r="AP237" s="102"/>
      <c r="AQ237" s="102"/>
      <c r="AR237" s="102"/>
      <c r="AS237" s="102"/>
      <c r="AT237" s="102"/>
      <c r="AU237" s="102"/>
    </row>
    <row r="238" spans="1:47" s="78" customFormat="1" ht="12.6" customHeight="1" x14ac:dyDescent="0.3">
      <c r="A238" s="102"/>
      <c r="V238" s="102"/>
      <c r="W238" s="102"/>
      <c r="X238" s="102"/>
      <c r="Y238" s="102"/>
      <c r="Z238" s="102"/>
      <c r="AA238" s="102"/>
      <c r="AB238" s="102"/>
      <c r="AC238" s="102"/>
      <c r="AD238" s="102"/>
      <c r="AE238" s="102"/>
      <c r="AF238" s="102"/>
      <c r="AG238" s="102"/>
      <c r="AH238" s="102"/>
      <c r="AI238" s="102"/>
      <c r="AJ238" s="102"/>
      <c r="AK238" s="102"/>
      <c r="AL238" s="102"/>
      <c r="AM238" s="102"/>
      <c r="AN238" s="102"/>
      <c r="AO238" s="102"/>
      <c r="AP238" s="102"/>
      <c r="AQ238" s="102"/>
      <c r="AR238" s="102"/>
      <c r="AS238" s="102"/>
      <c r="AT238" s="102"/>
      <c r="AU238" s="102"/>
    </row>
    <row r="239" spans="1:47" s="78" customFormat="1" ht="12.6" customHeight="1" x14ac:dyDescent="0.3">
      <c r="A239" s="102"/>
      <c r="V239" s="102"/>
      <c r="W239" s="102"/>
      <c r="X239" s="102"/>
      <c r="Y239" s="102"/>
      <c r="Z239" s="102"/>
      <c r="AA239" s="102"/>
      <c r="AB239" s="102"/>
      <c r="AC239" s="102"/>
      <c r="AD239" s="102"/>
      <c r="AE239" s="102"/>
      <c r="AF239" s="102"/>
      <c r="AG239" s="102"/>
      <c r="AH239" s="102"/>
      <c r="AI239" s="102"/>
      <c r="AJ239" s="102"/>
      <c r="AK239" s="102"/>
      <c r="AL239" s="102"/>
      <c r="AM239" s="102"/>
      <c r="AN239" s="102"/>
      <c r="AO239" s="102"/>
      <c r="AP239" s="102"/>
      <c r="AQ239" s="102"/>
      <c r="AR239" s="102"/>
      <c r="AS239" s="102"/>
      <c r="AT239" s="102"/>
      <c r="AU239" s="102"/>
    </row>
    <row r="240" spans="1:47" s="78" customFormat="1" ht="12.6" customHeight="1" x14ac:dyDescent="0.3">
      <c r="A240" s="102"/>
      <c r="V240" s="102"/>
      <c r="W240" s="102"/>
      <c r="X240" s="102"/>
      <c r="Y240" s="102"/>
      <c r="Z240" s="102"/>
      <c r="AA240" s="102"/>
      <c r="AB240" s="102"/>
      <c r="AC240" s="102"/>
      <c r="AD240" s="102"/>
      <c r="AE240" s="102"/>
      <c r="AF240" s="102"/>
      <c r="AG240" s="102"/>
      <c r="AH240" s="102"/>
      <c r="AI240" s="102"/>
      <c r="AJ240" s="102"/>
      <c r="AK240" s="102"/>
      <c r="AL240" s="102"/>
      <c r="AM240" s="102"/>
      <c r="AN240" s="102"/>
      <c r="AO240" s="102"/>
      <c r="AP240" s="102"/>
      <c r="AQ240" s="102"/>
      <c r="AR240" s="102"/>
      <c r="AS240" s="102"/>
      <c r="AT240" s="102"/>
      <c r="AU240" s="102"/>
    </row>
    <row r="241" spans="1:47" s="78" customFormat="1" ht="12.6" customHeight="1" x14ac:dyDescent="0.3">
      <c r="A241" s="102"/>
      <c r="V241" s="102"/>
      <c r="W241" s="102"/>
      <c r="X241" s="102"/>
      <c r="Y241" s="102"/>
      <c r="Z241" s="102"/>
      <c r="AA241" s="102"/>
      <c r="AB241" s="102"/>
      <c r="AC241" s="102"/>
      <c r="AD241" s="102"/>
      <c r="AE241" s="102"/>
      <c r="AF241" s="102"/>
      <c r="AG241" s="102"/>
      <c r="AH241" s="102"/>
      <c r="AI241" s="102"/>
      <c r="AJ241" s="102"/>
      <c r="AK241" s="102"/>
      <c r="AL241" s="102"/>
      <c r="AM241" s="102"/>
      <c r="AN241" s="102"/>
      <c r="AO241" s="102"/>
      <c r="AP241" s="102"/>
      <c r="AQ241" s="102"/>
      <c r="AR241" s="102"/>
      <c r="AS241" s="102"/>
      <c r="AT241" s="102"/>
      <c r="AU241" s="102"/>
    </row>
    <row r="242" spans="1:47" s="78" customFormat="1" ht="12.6" customHeight="1" x14ac:dyDescent="0.3">
      <c r="A242" s="102"/>
      <c r="V242" s="102"/>
      <c r="W242" s="102"/>
      <c r="X242" s="102"/>
      <c r="Y242" s="102"/>
      <c r="Z242" s="102"/>
      <c r="AA242" s="102"/>
      <c r="AB242" s="102"/>
      <c r="AC242" s="102"/>
      <c r="AD242" s="102"/>
      <c r="AE242" s="102"/>
      <c r="AF242" s="102"/>
      <c r="AG242" s="102"/>
      <c r="AH242" s="102"/>
      <c r="AI242" s="102"/>
      <c r="AJ242" s="102"/>
      <c r="AK242" s="102"/>
      <c r="AL242" s="102"/>
      <c r="AM242" s="102"/>
      <c r="AN242" s="102"/>
      <c r="AO242" s="102"/>
      <c r="AP242" s="102"/>
      <c r="AQ242" s="102"/>
      <c r="AR242" s="102"/>
      <c r="AS242" s="102"/>
      <c r="AT242" s="102"/>
      <c r="AU242" s="102"/>
    </row>
    <row r="243" spans="1:47" s="78" customFormat="1" ht="12.6" customHeight="1" x14ac:dyDescent="0.3">
      <c r="A243" s="102"/>
      <c r="V243" s="102"/>
      <c r="W243" s="102"/>
      <c r="X243" s="102"/>
      <c r="Y243" s="102"/>
      <c r="Z243" s="102"/>
      <c r="AA243" s="102"/>
      <c r="AB243" s="102"/>
      <c r="AC243" s="102"/>
      <c r="AD243" s="102"/>
      <c r="AE243" s="102"/>
      <c r="AF243" s="102"/>
      <c r="AG243" s="102"/>
      <c r="AH243" s="102"/>
      <c r="AI243" s="102"/>
      <c r="AJ243" s="102"/>
      <c r="AK243" s="102"/>
      <c r="AL243" s="102"/>
      <c r="AM243" s="102"/>
      <c r="AN243" s="102"/>
      <c r="AO243" s="102"/>
      <c r="AP243" s="102"/>
      <c r="AQ243" s="102"/>
      <c r="AR243" s="102"/>
      <c r="AS243" s="102"/>
      <c r="AT243" s="102"/>
      <c r="AU243" s="102"/>
    </row>
    <row r="244" spans="1:47" s="78" customFormat="1" ht="12.6" customHeight="1" x14ac:dyDescent="0.3">
      <c r="A244" s="102"/>
      <c r="V244" s="102"/>
      <c r="W244" s="102"/>
      <c r="X244" s="102"/>
      <c r="Y244" s="102"/>
      <c r="Z244" s="102"/>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row>
    <row r="245" spans="1:47" s="78" customFormat="1" ht="12.6" customHeight="1" x14ac:dyDescent="0.3">
      <c r="A245" s="102"/>
      <c r="V245" s="102"/>
      <c r="W245" s="102"/>
      <c r="X245" s="102"/>
      <c r="Y245" s="102"/>
      <c r="Z245" s="102"/>
      <c r="AA245" s="102"/>
      <c r="AB245" s="102"/>
      <c r="AC245" s="102"/>
      <c r="AD245" s="102"/>
      <c r="AE245" s="102"/>
      <c r="AF245" s="102"/>
      <c r="AG245" s="102"/>
      <c r="AH245" s="102"/>
      <c r="AI245" s="102"/>
      <c r="AJ245" s="102"/>
      <c r="AK245" s="102"/>
      <c r="AL245" s="102"/>
      <c r="AM245" s="102"/>
      <c r="AN245" s="102"/>
      <c r="AO245" s="102"/>
      <c r="AP245" s="102"/>
      <c r="AQ245" s="102"/>
      <c r="AR245" s="102"/>
      <c r="AS245" s="102"/>
      <c r="AT245" s="102"/>
      <c r="AU245" s="102"/>
    </row>
    <row r="246" spans="1:47" s="78" customFormat="1" ht="12.6" customHeight="1" x14ac:dyDescent="0.3">
      <c r="A246" s="102"/>
      <c r="V246" s="102"/>
      <c r="W246" s="102"/>
      <c r="X246" s="102"/>
      <c r="Y246" s="102"/>
      <c r="Z246" s="102"/>
      <c r="AA246" s="102"/>
      <c r="AB246" s="102"/>
      <c r="AC246" s="102"/>
      <c r="AD246" s="102"/>
      <c r="AE246" s="102"/>
      <c r="AF246" s="102"/>
      <c r="AG246" s="102"/>
      <c r="AH246" s="102"/>
      <c r="AI246" s="102"/>
      <c r="AJ246" s="102"/>
      <c r="AK246" s="102"/>
      <c r="AL246" s="102"/>
      <c r="AM246" s="102"/>
      <c r="AN246" s="102"/>
      <c r="AO246" s="102"/>
      <c r="AP246" s="102"/>
      <c r="AQ246" s="102"/>
      <c r="AR246" s="102"/>
      <c r="AS246" s="102"/>
      <c r="AT246" s="102"/>
      <c r="AU246" s="102"/>
    </row>
    <row r="247" spans="1:47" s="78" customFormat="1" ht="12.6" customHeight="1" x14ac:dyDescent="0.3">
      <c r="A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row>
    <row r="248" spans="1:47" s="78" customFormat="1" ht="12.6" customHeight="1" x14ac:dyDescent="0.3">
      <c r="A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row>
    <row r="249" spans="1:47" s="78" customFormat="1" ht="12.6" customHeight="1" x14ac:dyDescent="0.3">
      <c r="A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row>
    <row r="250" spans="1:47" s="78" customFormat="1" ht="12.6" customHeight="1" x14ac:dyDescent="0.3">
      <c r="A250" s="102"/>
      <c r="V250" s="102"/>
      <c r="W250" s="102"/>
      <c r="X250" s="102"/>
      <c r="Y250" s="102"/>
      <c r="Z250" s="102"/>
      <c r="AA250" s="102"/>
      <c r="AB250" s="102"/>
      <c r="AC250" s="102"/>
      <c r="AD250" s="102"/>
      <c r="AE250" s="102"/>
      <c r="AF250" s="102"/>
      <c r="AG250" s="102"/>
      <c r="AH250" s="102"/>
      <c r="AI250" s="102"/>
      <c r="AJ250" s="102"/>
      <c r="AK250" s="102"/>
      <c r="AL250" s="102"/>
      <c r="AM250" s="102"/>
      <c r="AN250" s="102"/>
      <c r="AO250" s="102"/>
      <c r="AP250" s="102"/>
      <c r="AQ250" s="102"/>
      <c r="AR250" s="102"/>
      <c r="AS250" s="102"/>
      <c r="AT250" s="102"/>
      <c r="AU250" s="102"/>
    </row>
    <row r="251" spans="1:47" s="78" customFormat="1" ht="12.6" customHeight="1" x14ac:dyDescent="0.3">
      <c r="A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row>
    <row r="252" spans="1:47" s="78" customFormat="1" ht="12.6" customHeight="1" x14ac:dyDescent="0.3">
      <c r="A252" s="102"/>
      <c r="V252" s="102"/>
      <c r="W252" s="102"/>
      <c r="X252" s="102"/>
      <c r="Y252" s="102"/>
      <c r="Z252" s="102"/>
      <c r="AA252" s="102"/>
      <c r="AB252" s="102"/>
      <c r="AC252" s="102"/>
      <c r="AD252" s="102"/>
      <c r="AE252" s="102"/>
      <c r="AF252" s="102"/>
      <c r="AG252" s="102"/>
      <c r="AH252" s="102"/>
      <c r="AI252" s="102"/>
      <c r="AJ252" s="102"/>
      <c r="AK252" s="102"/>
      <c r="AL252" s="102"/>
      <c r="AM252" s="102"/>
      <c r="AN252" s="102"/>
      <c r="AO252" s="102"/>
      <c r="AP252" s="102"/>
      <c r="AQ252" s="102"/>
      <c r="AR252" s="102"/>
      <c r="AS252" s="102"/>
      <c r="AT252" s="102"/>
      <c r="AU252" s="102"/>
    </row>
    <row r="253" spans="1:47" s="78" customFormat="1" ht="12.6" customHeight="1" x14ac:dyDescent="0.3">
      <c r="A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row>
    <row r="254" spans="1:47" s="78" customFormat="1" ht="12.6" customHeight="1" x14ac:dyDescent="0.3">
      <c r="A254" s="102"/>
      <c r="V254" s="102"/>
      <c r="W254" s="102"/>
      <c r="X254" s="102"/>
      <c r="Y254" s="102"/>
      <c r="Z254" s="102"/>
      <c r="AA254" s="102"/>
      <c r="AB254" s="102"/>
      <c r="AC254" s="102"/>
      <c r="AD254" s="102"/>
      <c r="AE254" s="102"/>
      <c r="AF254" s="102"/>
      <c r="AG254" s="102"/>
      <c r="AH254" s="102"/>
      <c r="AI254" s="102"/>
      <c r="AJ254" s="102"/>
      <c r="AK254" s="102"/>
      <c r="AL254" s="102"/>
      <c r="AM254" s="102"/>
      <c r="AN254" s="102"/>
      <c r="AO254" s="102"/>
      <c r="AP254" s="102"/>
      <c r="AQ254" s="102"/>
      <c r="AR254" s="102"/>
      <c r="AS254" s="102"/>
      <c r="AT254" s="102"/>
      <c r="AU254" s="102"/>
    </row>
    <row r="255" spans="1:47" s="78" customFormat="1" ht="12.6" customHeight="1" x14ac:dyDescent="0.3">
      <c r="A255" s="102"/>
      <c r="V255" s="102"/>
      <c r="W255" s="102"/>
      <c r="X255" s="102"/>
      <c r="Y255" s="102"/>
      <c r="Z255" s="102"/>
      <c r="AA255" s="102"/>
      <c r="AB255" s="102"/>
      <c r="AC255" s="102"/>
      <c r="AD255" s="102"/>
      <c r="AE255" s="102"/>
      <c r="AF255" s="102"/>
      <c r="AG255" s="102"/>
      <c r="AH255" s="102"/>
      <c r="AI255" s="102"/>
      <c r="AJ255" s="102"/>
      <c r="AK255" s="102"/>
      <c r="AL255" s="102"/>
      <c r="AM255" s="102"/>
      <c r="AN255" s="102"/>
      <c r="AO255" s="102"/>
      <c r="AP255" s="102"/>
      <c r="AQ255" s="102"/>
      <c r="AR255" s="102"/>
      <c r="AS255" s="102"/>
      <c r="AT255" s="102"/>
      <c r="AU255" s="102"/>
    </row>
    <row r="256" spans="1:47" s="78" customFormat="1" ht="12.6" customHeight="1" x14ac:dyDescent="0.3">
      <c r="A256" s="102"/>
      <c r="V256" s="102"/>
      <c r="W256" s="102"/>
      <c r="X256" s="102"/>
      <c r="Y256" s="102"/>
      <c r="Z256" s="102"/>
      <c r="AA256" s="102"/>
      <c r="AB256" s="102"/>
      <c r="AC256" s="102"/>
      <c r="AD256" s="102"/>
      <c r="AE256" s="102"/>
      <c r="AF256" s="102"/>
      <c r="AG256" s="102"/>
      <c r="AH256" s="102"/>
      <c r="AI256" s="102"/>
      <c r="AJ256" s="102"/>
      <c r="AK256" s="102"/>
      <c r="AL256" s="102"/>
      <c r="AM256" s="102"/>
      <c r="AN256" s="102"/>
      <c r="AO256" s="102"/>
      <c r="AP256" s="102"/>
      <c r="AQ256" s="102"/>
      <c r="AR256" s="102"/>
      <c r="AS256" s="102"/>
      <c r="AT256" s="102"/>
      <c r="AU256" s="102"/>
    </row>
    <row r="257" spans="1:47" s="78" customFormat="1" ht="12.6" customHeight="1" x14ac:dyDescent="0.3">
      <c r="A257" s="102"/>
      <c r="V257" s="102"/>
      <c r="W257" s="102"/>
      <c r="X257" s="102"/>
      <c r="Y257" s="102"/>
      <c r="Z257" s="102"/>
      <c r="AA257" s="102"/>
      <c r="AB257" s="102"/>
      <c r="AC257" s="102"/>
      <c r="AD257" s="102"/>
      <c r="AE257" s="102"/>
      <c r="AF257" s="102"/>
      <c r="AG257" s="102"/>
      <c r="AH257" s="102"/>
      <c r="AI257" s="102"/>
      <c r="AJ257" s="102"/>
      <c r="AK257" s="102"/>
      <c r="AL257" s="102"/>
      <c r="AM257" s="102"/>
      <c r="AN257" s="102"/>
      <c r="AO257" s="102"/>
      <c r="AP257" s="102"/>
      <c r="AQ257" s="102"/>
      <c r="AR257" s="102"/>
      <c r="AS257" s="102"/>
      <c r="AT257" s="102"/>
      <c r="AU257" s="102"/>
    </row>
    <row r="258" spans="1:47" s="78" customFormat="1" ht="12.6" customHeight="1" x14ac:dyDescent="0.3">
      <c r="A258" s="102"/>
      <c r="V258" s="102"/>
      <c r="W258" s="102"/>
      <c r="X258" s="102"/>
      <c r="Y258" s="102"/>
      <c r="Z258" s="102"/>
      <c r="AA258" s="102"/>
      <c r="AB258" s="102"/>
      <c r="AC258" s="102"/>
      <c r="AD258" s="102"/>
      <c r="AE258" s="102"/>
      <c r="AF258" s="102"/>
      <c r="AG258" s="102"/>
      <c r="AH258" s="102"/>
      <c r="AI258" s="102"/>
      <c r="AJ258" s="102"/>
      <c r="AK258" s="102"/>
      <c r="AL258" s="102"/>
      <c r="AM258" s="102"/>
      <c r="AN258" s="102"/>
      <c r="AO258" s="102"/>
      <c r="AP258" s="102"/>
      <c r="AQ258" s="102"/>
      <c r="AR258" s="102"/>
      <c r="AS258" s="102"/>
      <c r="AT258" s="102"/>
      <c r="AU258" s="102"/>
    </row>
    <row r="259" spans="1:47" s="78" customFormat="1" ht="12.6" customHeight="1" x14ac:dyDescent="0.3">
      <c r="A259" s="102"/>
      <c r="V259" s="102"/>
      <c r="W259" s="102"/>
      <c r="X259" s="102"/>
      <c r="Y259" s="102"/>
      <c r="Z259" s="102"/>
      <c r="AA259" s="102"/>
      <c r="AB259" s="102"/>
      <c r="AC259" s="102"/>
      <c r="AD259" s="102"/>
      <c r="AE259" s="102"/>
      <c r="AF259" s="102"/>
      <c r="AG259" s="102"/>
      <c r="AH259" s="102"/>
      <c r="AI259" s="102"/>
      <c r="AJ259" s="102"/>
      <c r="AK259" s="102"/>
      <c r="AL259" s="102"/>
      <c r="AM259" s="102"/>
      <c r="AN259" s="102"/>
      <c r="AO259" s="102"/>
      <c r="AP259" s="102"/>
      <c r="AQ259" s="102"/>
      <c r="AR259" s="102"/>
      <c r="AS259" s="102"/>
      <c r="AT259" s="102"/>
      <c r="AU259" s="102"/>
    </row>
    <row r="260" spans="1:47" s="78" customFormat="1" ht="12.6" customHeight="1" x14ac:dyDescent="0.3">
      <c r="A260" s="102"/>
      <c r="V260" s="102"/>
      <c r="W260" s="102"/>
      <c r="X260" s="102"/>
      <c r="Y260" s="102"/>
      <c r="Z260" s="102"/>
      <c r="AA260" s="102"/>
      <c r="AB260" s="102"/>
      <c r="AC260" s="102"/>
      <c r="AD260" s="102"/>
      <c r="AE260" s="102"/>
      <c r="AF260" s="102"/>
      <c r="AG260" s="102"/>
      <c r="AH260" s="102"/>
      <c r="AI260" s="102"/>
      <c r="AJ260" s="102"/>
      <c r="AK260" s="102"/>
      <c r="AL260" s="102"/>
      <c r="AM260" s="102"/>
      <c r="AN260" s="102"/>
      <c r="AO260" s="102"/>
      <c r="AP260" s="102"/>
      <c r="AQ260" s="102"/>
      <c r="AR260" s="102"/>
      <c r="AS260" s="102"/>
      <c r="AT260" s="102"/>
      <c r="AU260" s="102"/>
    </row>
    <row r="261" spans="1:47" s="78" customFormat="1" ht="12.6" customHeight="1" x14ac:dyDescent="0.3">
      <c r="A261" s="102"/>
      <c r="V261" s="102"/>
      <c r="W261" s="102"/>
      <c r="X261" s="102"/>
      <c r="Y261" s="102"/>
      <c r="Z261" s="102"/>
      <c r="AA261" s="102"/>
      <c r="AB261" s="102"/>
      <c r="AC261" s="102"/>
      <c r="AD261" s="102"/>
      <c r="AE261" s="102"/>
      <c r="AF261" s="102"/>
      <c r="AG261" s="102"/>
      <c r="AH261" s="102"/>
      <c r="AI261" s="102"/>
      <c r="AJ261" s="102"/>
      <c r="AK261" s="102"/>
      <c r="AL261" s="102"/>
      <c r="AM261" s="102"/>
      <c r="AN261" s="102"/>
      <c r="AO261" s="102"/>
      <c r="AP261" s="102"/>
      <c r="AQ261" s="102"/>
      <c r="AR261" s="102"/>
      <c r="AS261" s="102"/>
      <c r="AT261" s="102"/>
      <c r="AU261" s="102"/>
    </row>
    <row r="262" spans="1:47" s="78" customFormat="1" ht="12.6" customHeight="1" x14ac:dyDescent="0.3">
      <c r="A262" s="102"/>
      <c r="V262" s="102"/>
      <c r="W262" s="102"/>
      <c r="X262" s="102"/>
      <c r="Y262" s="102"/>
      <c r="Z262" s="102"/>
      <c r="AA262" s="102"/>
      <c r="AB262" s="102"/>
      <c r="AC262" s="102"/>
      <c r="AD262" s="102"/>
      <c r="AE262" s="102"/>
      <c r="AF262" s="102"/>
      <c r="AG262" s="102"/>
      <c r="AH262" s="102"/>
      <c r="AI262" s="102"/>
      <c r="AJ262" s="102"/>
      <c r="AK262" s="102"/>
      <c r="AL262" s="102"/>
      <c r="AM262" s="102"/>
      <c r="AN262" s="102"/>
      <c r="AO262" s="102"/>
      <c r="AP262" s="102"/>
      <c r="AQ262" s="102"/>
      <c r="AR262" s="102"/>
      <c r="AS262" s="102"/>
      <c r="AT262" s="102"/>
      <c r="AU262" s="102"/>
    </row>
    <row r="263" spans="1:47" s="78" customFormat="1" ht="12.6" customHeight="1" x14ac:dyDescent="0.3">
      <c r="A263" s="102"/>
      <c r="V263" s="102"/>
      <c r="W263" s="102"/>
      <c r="X263" s="102"/>
      <c r="Y263" s="102"/>
      <c r="Z263" s="102"/>
      <c r="AA263" s="102"/>
      <c r="AB263" s="102"/>
      <c r="AC263" s="102"/>
      <c r="AD263" s="102"/>
      <c r="AE263" s="102"/>
      <c r="AF263" s="102"/>
      <c r="AG263" s="102"/>
      <c r="AH263" s="102"/>
      <c r="AI263" s="102"/>
      <c r="AJ263" s="102"/>
      <c r="AK263" s="102"/>
      <c r="AL263" s="102"/>
      <c r="AM263" s="102"/>
      <c r="AN263" s="102"/>
      <c r="AO263" s="102"/>
      <c r="AP263" s="102"/>
      <c r="AQ263" s="102"/>
      <c r="AR263" s="102"/>
      <c r="AS263" s="102"/>
      <c r="AT263" s="102"/>
      <c r="AU263" s="102"/>
    </row>
    <row r="264" spans="1:47" s="78" customFormat="1" ht="12.6" customHeight="1" x14ac:dyDescent="0.3">
      <c r="A264" s="102"/>
      <c r="V264" s="102"/>
      <c r="W264" s="102"/>
      <c r="X264" s="102"/>
      <c r="Y264" s="102"/>
      <c r="Z264" s="102"/>
      <c r="AA264" s="102"/>
      <c r="AB264" s="102"/>
      <c r="AC264" s="102"/>
      <c r="AD264" s="102"/>
      <c r="AE264" s="102"/>
      <c r="AF264" s="102"/>
      <c r="AG264" s="102"/>
      <c r="AH264" s="102"/>
      <c r="AI264" s="102"/>
      <c r="AJ264" s="102"/>
      <c r="AK264" s="102"/>
      <c r="AL264" s="102"/>
      <c r="AM264" s="102"/>
      <c r="AN264" s="102"/>
      <c r="AO264" s="102"/>
      <c r="AP264" s="102"/>
      <c r="AQ264" s="102"/>
      <c r="AR264" s="102"/>
      <c r="AS264" s="102"/>
      <c r="AT264" s="102"/>
      <c r="AU264" s="102"/>
    </row>
    <row r="265" spans="1:47" s="78" customFormat="1" ht="12.6" customHeight="1" x14ac:dyDescent="0.3">
      <c r="A265" s="102"/>
      <c r="V265" s="102"/>
      <c r="W265" s="102"/>
      <c r="X265" s="102"/>
      <c r="Y265" s="102"/>
      <c r="Z265" s="102"/>
      <c r="AA265" s="102"/>
      <c r="AB265" s="102"/>
      <c r="AC265" s="102"/>
      <c r="AD265" s="102"/>
      <c r="AE265" s="102"/>
      <c r="AF265" s="102"/>
      <c r="AG265" s="102"/>
      <c r="AH265" s="102"/>
      <c r="AI265" s="102"/>
      <c r="AJ265" s="102"/>
      <c r="AK265" s="102"/>
      <c r="AL265" s="102"/>
      <c r="AM265" s="102"/>
      <c r="AN265" s="102"/>
      <c r="AO265" s="102"/>
      <c r="AP265" s="102"/>
      <c r="AQ265" s="102"/>
      <c r="AR265" s="102"/>
      <c r="AS265" s="102"/>
      <c r="AT265" s="102"/>
      <c r="AU265" s="102"/>
    </row>
    <row r="266" spans="1:47" s="78" customFormat="1" ht="12.6" customHeight="1" x14ac:dyDescent="0.3">
      <c r="A266" s="102"/>
      <c r="V266" s="102"/>
      <c r="W266" s="102"/>
      <c r="X266" s="102"/>
      <c r="Y266" s="102"/>
      <c r="Z266" s="102"/>
      <c r="AA266" s="102"/>
      <c r="AB266" s="102"/>
      <c r="AC266" s="102"/>
      <c r="AD266" s="102"/>
      <c r="AE266" s="102"/>
      <c r="AF266" s="102"/>
      <c r="AG266" s="102"/>
      <c r="AH266" s="102"/>
      <c r="AI266" s="102"/>
      <c r="AJ266" s="102"/>
      <c r="AK266" s="102"/>
      <c r="AL266" s="102"/>
      <c r="AM266" s="102"/>
      <c r="AN266" s="102"/>
      <c r="AO266" s="102"/>
      <c r="AP266" s="102"/>
      <c r="AQ266" s="102"/>
      <c r="AR266" s="102"/>
      <c r="AS266" s="102"/>
      <c r="AT266" s="102"/>
      <c r="AU266" s="102"/>
    </row>
    <row r="267" spans="1:47" s="78" customFormat="1" ht="12.6" customHeight="1" x14ac:dyDescent="0.3">
      <c r="A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row>
    <row r="268" spans="1:47" s="78" customFormat="1" ht="12.6" customHeight="1" x14ac:dyDescent="0.3">
      <c r="A268" s="102"/>
      <c r="V268" s="102"/>
      <c r="W268" s="102"/>
      <c r="X268" s="102"/>
      <c r="Y268" s="102"/>
      <c r="Z268" s="102"/>
      <c r="AA268" s="102"/>
      <c r="AB268" s="102"/>
      <c r="AC268" s="102"/>
      <c r="AD268" s="102"/>
      <c r="AE268" s="102"/>
      <c r="AF268" s="102"/>
      <c r="AG268" s="102"/>
      <c r="AH268" s="102"/>
      <c r="AI268" s="102"/>
      <c r="AJ268" s="102"/>
      <c r="AK268" s="102"/>
      <c r="AL268" s="102"/>
      <c r="AM268" s="102"/>
      <c r="AN268" s="102"/>
      <c r="AO268" s="102"/>
      <c r="AP268" s="102"/>
      <c r="AQ268" s="102"/>
      <c r="AR268" s="102"/>
      <c r="AS268" s="102"/>
      <c r="AT268" s="102"/>
      <c r="AU268" s="102"/>
    </row>
    <row r="269" spans="1:47" s="78" customFormat="1" ht="12.6" customHeight="1" x14ac:dyDescent="0.3">
      <c r="A269" s="102"/>
      <c r="V269" s="102"/>
      <c r="W269" s="102"/>
      <c r="X269" s="102"/>
      <c r="Y269" s="102"/>
      <c r="Z269" s="102"/>
      <c r="AA269" s="102"/>
      <c r="AB269" s="102"/>
      <c r="AC269" s="102"/>
      <c r="AD269" s="102"/>
      <c r="AE269" s="102"/>
      <c r="AF269" s="102"/>
      <c r="AG269" s="102"/>
      <c r="AH269" s="102"/>
      <c r="AI269" s="102"/>
      <c r="AJ269" s="102"/>
      <c r="AK269" s="102"/>
      <c r="AL269" s="102"/>
      <c r="AM269" s="102"/>
      <c r="AN269" s="102"/>
      <c r="AO269" s="102"/>
      <c r="AP269" s="102"/>
      <c r="AQ269" s="102"/>
      <c r="AR269" s="102"/>
      <c r="AS269" s="102"/>
      <c r="AT269" s="102"/>
      <c r="AU269" s="102"/>
    </row>
    <row r="270" spans="1:47" s="78" customFormat="1" ht="12.6" customHeight="1" x14ac:dyDescent="0.3">
      <c r="A270" s="102"/>
      <c r="V270" s="102"/>
      <c r="W270" s="102"/>
      <c r="X270" s="102"/>
      <c r="Y270" s="102"/>
      <c r="Z270" s="102"/>
      <c r="AA270" s="102"/>
      <c r="AB270" s="102"/>
      <c r="AC270" s="102"/>
      <c r="AD270" s="102"/>
      <c r="AE270" s="102"/>
      <c r="AF270" s="102"/>
      <c r="AG270" s="102"/>
      <c r="AH270" s="102"/>
      <c r="AI270" s="102"/>
      <c r="AJ270" s="102"/>
      <c r="AK270" s="102"/>
      <c r="AL270" s="102"/>
      <c r="AM270" s="102"/>
      <c r="AN270" s="102"/>
      <c r="AO270" s="102"/>
      <c r="AP270" s="102"/>
      <c r="AQ270" s="102"/>
      <c r="AR270" s="102"/>
      <c r="AS270" s="102"/>
      <c r="AT270" s="102"/>
      <c r="AU270" s="102"/>
    </row>
    <row r="271" spans="1:47" s="78" customFormat="1" ht="12.6" customHeight="1" x14ac:dyDescent="0.3">
      <c r="A271" s="102"/>
      <c r="V271" s="102"/>
      <c r="W271" s="102"/>
      <c r="X271" s="102"/>
      <c r="Y271" s="102"/>
      <c r="Z271" s="102"/>
      <c r="AA271" s="102"/>
      <c r="AB271" s="102"/>
      <c r="AC271" s="102"/>
      <c r="AD271" s="102"/>
      <c r="AE271" s="102"/>
      <c r="AF271" s="102"/>
      <c r="AG271" s="102"/>
      <c r="AH271" s="102"/>
      <c r="AI271" s="102"/>
      <c r="AJ271" s="102"/>
      <c r="AK271" s="102"/>
      <c r="AL271" s="102"/>
      <c r="AM271" s="102"/>
      <c r="AN271" s="102"/>
      <c r="AO271" s="102"/>
      <c r="AP271" s="102"/>
      <c r="AQ271" s="102"/>
      <c r="AR271" s="102"/>
      <c r="AS271" s="102"/>
      <c r="AT271" s="102"/>
      <c r="AU271" s="102"/>
    </row>
    <row r="272" spans="1:47" s="78" customFormat="1" ht="12.6" customHeight="1" x14ac:dyDescent="0.3">
      <c r="A272" s="102"/>
      <c r="V272" s="102"/>
      <c r="W272" s="102"/>
      <c r="X272" s="102"/>
      <c r="Y272" s="102"/>
      <c r="Z272" s="102"/>
      <c r="AA272" s="102"/>
      <c r="AB272" s="102"/>
      <c r="AC272" s="102"/>
      <c r="AD272" s="102"/>
      <c r="AE272" s="102"/>
      <c r="AF272" s="102"/>
      <c r="AG272" s="102"/>
      <c r="AH272" s="102"/>
      <c r="AI272" s="102"/>
      <c r="AJ272" s="102"/>
      <c r="AK272" s="102"/>
      <c r="AL272" s="102"/>
      <c r="AM272" s="102"/>
      <c r="AN272" s="102"/>
      <c r="AO272" s="102"/>
      <c r="AP272" s="102"/>
      <c r="AQ272" s="102"/>
      <c r="AR272" s="102"/>
      <c r="AS272" s="102"/>
      <c r="AT272" s="102"/>
      <c r="AU272" s="102"/>
    </row>
    <row r="273" spans="1:47" s="78" customFormat="1" ht="12.6" customHeight="1" x14ac:dyDescent="0.3">
      <c r="A273" s="102"/>
      <c r="V273" s="102"/>
      <c r="W273" s="102"/>
      <c r="X273" s="102"/>
      <c r="Y273" s="102"/>
      <c r="Z273" s="102"/>
      <c r="AA273" s="102"/>
      <c r="AB273" s="102"/>
      <c r="AC273" s="102"/>
      <c r="AD273" s="102"/>
      <c r="AE273" s="102"/>
      <c r="AF273" s="102"/>
      <c r="AG273" s="102"/>
      <c r="AH273" s="102"/>
      <c r="AI273" s="102"/>
      <c r="AJ273" s="102"/>
      <c r="AK273" s="102"/>
      <c r="AL273" s="102"/>
      <c r="AM273" s="102"/>
      <c r="AN273" s="102"/>
      <c r="AO273" s="102"/>
      <c r="AP273" s="102"/>
      <c r="AQ273" s="102"/>
      <c r="AR273" s="102"/>
      <c r="AS273" s="102"/>
      <c r="AT273" s="102"/>
      <c r="AU273" s="102"/>
    </row>
    <row r="274" spans="1:47" s="78" customFormat="1" ht="12.6" customHeight="1" x14ac:dyDescent="0.3">
      <c r="A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row>
    <row r="275" spans="1:47" s="78" customFormat="1" ht="12.6" customHeight="1" x14ac:dyDescent="0.3">
      <c r="A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row>
    <row r="276" spans="1:47" s="78" customFormat="1" ht="12.6" customHeight="1" x14ac:dyDescent="0.3">
      <c r="A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row>
    <row r="277" spans="1:47" s="78" customFormat="1" ht="12.6" customHeight="1" x14ac:dyDescent="0.3">
      <c r="A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row>
    <row r="278" spans="1:47" s="78" customFormat="1" ht="12.6" customHeight="1" x14ac:dyDescent="0.3">
      <c r="A278" s="102"/>
      <c r="V278" s="102"/>
      <c r="W278" s="102"/>
      <c r="X278" s="102"/>
      <c r="Y278" s="102"/>
      <c r="Z278" s="102"/>
      <c r="AA278" s="102"/>
      <c r="AB278" s="102"/>
      <c r="AC278" s="102"/>
      <c r="AD278" s="102"/>
      <c r="AE278" s="102"/>
      <c r="AF278" s="102"/>
      <c r="AG278" s="102"/>
      <c r="AH278" s="102"/>
      <c r="AI278" s="102"/>
      <c r="AJ278" s="102"/>
      <c r="AK278" s="102"/>
      <c r="AL278" s="102"/>
      <c r="AM278" s="102"/>
      <c r="AN278" s="102"/>
      <c r="AO278" s="102"/>
      <c r="AP278" s="102"/>
      <c r="AQ278" s="102"/>
      <c r="AR278" s="102"/>
      <c r="AS278" s="102"/>
      <c r="AT278" s="102"/>
      <c r="AU278" s="102"/>
    </row>
    <row r="279" spans="1:47" s="78" customFormat="1" ht="12.6" customHeight="1" x14ac:dyDescent="0.3">
      <c r="A279" s="102"/>
      <c r="V279" s="102"/>
      <c r="W279" s="102"/>
      <c r="X279" s="102"/>
      <c r="Y279" s="102"/>
      <c r="Z279" s="102"/>
      <c r="AA279" s="102"/>
      <c r="AB279" s="102"/>
      <c r="AC279" s="102"/>
      <c r="AD279" s="102"/>
      <c r="AE279" s="102"/>
      <c r="AF279" s="102"/>
      <c r="AG279" s="102"/>
      <c r="AH279" s="102"/>
      <c r="AI279" s="102"/>
      <c r="AJ279" s="102"/>
      <c r="AK279" s="102"/>
      <c r="AL279" s="102"/>
      <c r="AM279" s="102"/>
      <c r="AN279" s="102"/>
      <c r="AO279" s="102"/>
      <c r="AP279" s="102"/>
      <c r="AQ279" s="102"/>
      <c r="AR279" s="102"/>
      <c r="AS279" s="102"/>
      <c r="AT279" s="102"/>
      <c r="AU279" s="102"/>
    </row>
    <row r="280" spans="1:47" s="78" customFormat="1" ht="12.6" customHeight="1" x14ac:dyDescent="0.3">
      <c r="A280" s="102"/>
      <c r="V280" s="102"/>
      <c r="W280" s="102"/>
      <c r="X280" s="102"/>
      <c r="Y280" s="102"/>
      <c r="Z280" s="102"/>
      <c r="AA280" s="102"/>
      <c r="AB280" s="102"/>
      <c r="AC280" s="102"/>
      <c r="AD280" s="102"/>
      <c r="AE280" s="102"/>
      <c r="AF280" s="102"/>
      <c r="AG280" s="102"/>
      <c r="AH280" s="102"/>
      <c r="AI280" s="102"/>
      <c r="AJ280" s="102"/>
      <c r="AK280" s="102"/>
      <c r="AL280" s="102"/>
      <c r="AM280" s="102"/>
      <c r="AN280" s="102"/>
      <c r="AO280" s="102"/>
      <c r="AP280" s="102"/>
      <c r="AQ280" s="102"/>
      <c r="AR280" s="102"/>
      <c r="AS280" s="102"/>
      <c r="AT280" s="102"/>
      <c r="AU280" s="102"/>
    </row>
    <row r="281" spans="1:47" s="78" customFormat="1" ht="12.6" customHeight="1" x14ac:dyDescent="0.3">
      <c r="A281" s="102"/>
      <c r="V281" s="102"/>
      <c r="W281" s="102"/>
      <c r="X281" s="102"/>
      <c r="Y281" s="102"/>
      <c r="Z281" s="102"/>
      <c r="AA281" s="102"/>
      <c r="AB281" s="102"/>
      <c r="AC281" s="102"/>
      <c r="AD281" s="102"/>
      <c r="AE281" s="102"/>
      <c r="AF281" s="102"/>
      <c r="AG281" s="102"/>
      <c r="AH281" s="102"/>
      <c r="AI281" s="102"/>
      <c r="AJ281" s="102"/>
      <c r="AK281" s="102"/>
      <c r="AL281" s="102"/>
      <c r="AM281" s="102"/>
      <c r="AN281" s="102"/>
      <c r="AO281" s="102"/>
      <c r="AP281" s="102"/>
      <c r="AQ281" s="102"/>
      <c r="AR281" s="102"/>
      <c r="AS281" s="102"/>
      <c r="AT281" s="102"/>
      <c r="AU281" s="102"/>
    </row>
    <row r="282" spans="1:47" s="78" customFormat="1" ht="12.6" customHeight="1" x14ac:dyDescent="0.3">
      <c r="A282" s="102"/>
      <c r="V282" s="102"/>
      <c r="W282" s="102"/>
      <c r="X282" s="102"/>
      <c r="Y282" s="102"/>
      <c r="Z282" s="102"/>
      <c r="AA282" s="102"/>
      <c r="AB282" s="102"/>
      <c r="AC282" s="102"/>
      <c r="AD282" s="102"/>
      <c r="AE282" s="102"/>
      <c r="AF282" s="102"/>
      <c r="AG282" s="102"/>
      <c r="AH282" s="102"/>
      <c r="AI282" s="102"/>
      <c r="AJ282" s="102"/>
      <c r="AK282" s="102"/>
      <c r="AL282" s="102"/>
      <c r="AM282" s="102"/>
      <c r="AN282" s="102"/>
      <c r="AO282" s="102"/>
      <c r="AP282" s="102"/>
      <c r="AQ282" s="102"/>
      <c r="AR282" s="102"/>
      <c r="AS282" s="102"/>
      <c r="AT282" s="102"/>
      <c r="AU282" s="102"/>
    </row>
    <row r="283" spans="1:47" s="78" customFormat="1" ht="12.6" customHeight="1" x14ac:dyDescent="0.3">
      <c r="A283" s="102"/>
      <c r="V283" s="102"/>
      <c r="W283" s="102"/>
      <c r="X283" s="102"/>
      <c r="Y283" s="102"/>
      <c r="Z283" s="102"/>
      <c r="AA283" s="102"/>
      <c r="AB283" s="102"/>
      <c r="AC283" s="102"/>
      <c r="AD283" s="102"/>
      <c r="AE283" s="102"/>
      <c r="AF283" s="102"/>
      <c r="AG283" s="102"/>
      <c r="AH283" s="102"/>
      <c r="AI283" s="102"/>
      <c r="AJ283" s="102"/>
      <c r="AK283" s="102"/>
      <c r="AL283" s="102"/>
      <c r="AM283" s="102"/>
      <c r="AN283" s="102"/>
      <c r="AO283" s="102"/>
      <c r="AP283" s="102"/>
      <c r="AQ283" s="102"/>
      <c r="AR283" s="102"/>
      <c r="AS283" s="102"/>
      <c r="AT283" s="102"/>
      <c r="AU283" s="102"/>
    </row>
    <row r="284" spans="1:47" s="78" customFormat="1" ht="12.6" customHeight="1" x14ac:dyDescent="0.3">
      <c r="A284" s="102"/>
      <c r="V284" s="102"/>
      <c r="W284" s="102"/>
      <c r="X284" s="102"/>
      <c r="Y284" s="102"/>
      <c r="Z284" s="102"/>
      <c r="AA284" s="102"/>
      <c r="AB284" s="102"/>
      <c r="AC284" s="102"/>
      <c r="AD284" s="102"/>
      <c r="AE284" s="102"/>
      <c r="AF284" s="102"/>
      <c r="AG284" s="102"/>
      <c r="AH284" s="102"/>
      <c r="AI284" s="102"/>
      <c r="AJ284" s="102"/>
      <c r="AK284" s="102"/>
      <c r="AL284" s="102"/>
      <c r="AM284" s="102"/>
      <c r="AN284" s="102"/>
      <c r="AO284" s="102"/>
      <c r="AP284" s="102"/>
      <c r="AQ284" s="102"/>
      <c r="AR284" s="102"/>
      <c r="AS284" s="102"/>
      <c r="AT284" s="102"/>
      <c r="AU284" s="102"/>
    </row>
    <row r="285" spans="1:47" s="78" customFormat="1" ht="12.6" customHeight="1" x14ac:dyDescent="0.3">
      <c r="A285" s="102"/>
      <c r="V285" s="102"/>
      <c r="W285" s="102"/>
      <c r="X285" s="102"/>
      <c r="Y285" s="102"/>
      <c r="Z285" s="102"/>
      <c r="AA285" s="102"/>
      <c r="AB285" s="102"/>
      <c r="AC285" s="102"/>
      <c r="AD285" s="102"/>
      <c r="AE285" s="102"/>
      <c r="AF285" s="102"/>
      <c r="AG285" s="102"/>
      <c r="AH285" s="102"/>
      <c r="AI285" s="102"/>
      <c r="AJ285" s="102"/>
      <c r="AK285" s="102"/>
      <c r="AL285" s="102"/>
      <c r="AM285" s="102"/>
      <c r="AN285" s="102"/>
      <c r="AO285" s="102"/>
      <c r="AP285" s="102"/>
      <c r="AQ285" s="102"/>
      <c r="AR285" s="102"/>
      <c r="AS285" s="102"/>
      <c r="AT285" s="102"/>
      <c r="AU285" s="102"/>
    </row>
    <row r="286" spans="1:47" s="78" customFormat="1" ht="12.6" customHeight="1" x14ac:dyDescent="0.3">
      <c r="A286" s="102"/>
      <c r="V286" s="102"/>
      <c r="W286" s="102"/>
      <c r="X286" s="102"/>
      <c r="Y286" s="102"/>
      <c r="Z286" s="102"/>
      <c r="AA286" s="102"/>
      <c r="AB286" s="102"/>
      <c r="AC286" s="102"/>
      <c r="AD286" s="102"/>
      <c r="AE286" s="102"/>
      <c r="AF286" s="102"/>
      <c r="AG286" s="102"/>
      <c r="AH286" s="102"/>
      <c r="AI286" s="102"/>
      <c r="AJ286" s="102"/>
      <c r="AK286" s="102"/>
      <c r="AL286" s="102"/>
      <c r="AM286" s="102"/>
      <c r="AN286" s="102"/>
      <c r="AO286" s="102"/>
      <c r="AP286" s="102"/>
      <c r="AQ286" s="102"/>
      <c r="AR286" s="102"/>
      <c r="AS286" s="102"/>
      <c r="AT286" s="102"/>
      <c r="AU286" s="102"/>
    </row>
    <row r="287" spans="1:47" s="78" customFormat="1" ht="12.6" customHeight="1" x14ac:dyDescent="0.3">
      <c r="A287" s="102"/>
      <c r="V287" s="102"/>
      <c r="W287" s="102"/>
      <c r="X287" s="102"/>
      <c r="Y287" s="102"/>
      <c r="Z287" s="102"/>
      <c r="AA287" s="102"/>
      <c r="AB287" s="102"/>
      <c r="AC287" s="102"/>
      <c r="AD287" s="102"/>
      <c r="AE287" s="102"/>
      <c r="AF287" s="102"/>
      <c r="AG287" s="102"/>
      <c r="AH287" s="102"/>
      <c r="AI287" s="102"/>
      <c r="AJ287" s="102"/>
      <c r="AK287" s="102"/>
      <c r="AL287" s="102"/>
      <c r="AM287" s="102"/>
      <c r="AN287" s="102"/>
      <c r="AO287" s="102"/>
      <c r="AP287" s="102"/>
      <c r="AQ287" s="102"/>
      <c r="AR287" s="102"/>
      <c r="AS287" s="102"/>
      <c r="AT287" s="102"/>
      <c r="AU287" s="102"/>
    </row>
    <row r="288" spans="1:47" s="78" customFormat="1" ht="12.6" customHeight="1" x14ac:dyDescent="0.3">
      <c r="A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row>
    <row r="289" spans="1:47" s="78" customFormat="1" ht="12.6" customHeight="1" x14ac:dyDescent="0.3">
      <c r="A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row>
    <row r="290" spans="1:47" s="78" customFormat="1" ht="12.6" customHeight="1" x14ac:dyDescent="0.3">
      <c r="A290" s="102"/>
      <c r="V290" s="102"/>
      <c r="W290" s="102"/>
      <c r="X290" s="102"/>
      <c r="Y290" s="102"/>
      <c r="Z290" s="102"/>
      <c r="AA290" s="102"/>
      <c r="AB290" s="102"/>
      <c r="AC290" s="102"/>
      <c r="AD290" s="102"/>
      <c r="AE290" s="102"/>
      <c r="AF290" s="102"/>
      <c r="AG290" s="102"/>
      <c r="AH290" s="102"/>
      <c r="AI290" s="102"/>
      <c r="AJ290" s="102"/>
      <c r="AK290" s="102"/>
      <c r="AL290" s="102"/>
      <c r="AM290" s="102"/>
      <c r="AN290" s="102"/>
      <c r="AO290" s="102"/>
      <c r="AP290" s="102"/>
      <c r="AQ290" s="102"/>
      <c r="AR290" s="102"/>
      <c r="AS290" s="102"/>
      <c r="AT290" s="102"/>
      <c r="AU290" s="102"/>
    </row>
    <row r="291" spans="1:47" s="78" customFormat="1" ht="12.6" customHeight="1" x14ac:dyDescent="0.3">
      <c r="A291" s="102"/>
      <c r="V291" s="102"/>
      <c r="W291" s="102"/>
      <c r="X291" s="102"/>
      <c r="Y291" s="102"/>
      <c r="Z291" s="102"/>
      <c r="AA291" s="102"/>
      <c r="AB291" s="102"/>
      <c r="AC291" s="102"/>
      <c r="AD291" s="102"/>
      <c r="AE291" s="102"/>
      <c r="AF291" s="102"/>
      <c r="AG291" s="102"/>
      <c r="AH291" s="102"/>
      <c r="AI291" s="102"/>
      <c r="AJ291" s="102"/>
      <c r="AK291" s="102"/>
      <c r="AL291" s="102"/>
      <c r="AM291" s="102"/>
      <c r="AN291" s="102"/>
      <c r="AO291" s="102"/>
      <c r="AP291" s="102"/>
      <c r="AQ291" s="102"/>
      <c r="AR291" s="102"/>
      <c r="AS291" s="102"/>
      <c r="AT291" s="102"/>
      <c r="AU291" s="102"/>
    </row>
    <row r="292" spans="1:47" s="78" customFormat="1" ht="12.6" customHeight="1" x14ac:dyDescent="0.3">
      <c r="A292" s="102"/>
      <c r="V292" s="102"/>
      <c r="W292" s="102"/>
      <c r="X292" s="102"/>
      <c r="Y292" s="102"/>
      <c r="Z292" s="102"/>
      <c r="AA292" s="102"/>
      <c r="AB292" s="102"/>
      <c r="AC292" s="102"/>
      <c r="AD292" s="102"/>
      <c r="AE292" s="102"/>
      <c r="AF292" s="102"/>
      <c r="AG292" s="102"/>
      <c r="AH292" s="102"/>
      <c r="AI292" s="102"/>
      <c r="AJ292" s="102"/>
      <c r="AK292" s="102"/>
      <c r="AL292" s="102"/>
      <c r="AM292" s="102"/>
      <c r="AN292" s="102"/>
      <c r="AO292" s="102"/>
      <c r="AP292" s="102"/>
      <c r="AQ292" s="102"/>
      <c r="AR292" s="102"/>
      <c r="AS292" s="102"/>
      <c r="AT292" s="102"/>
      <c r="AU292" s="102"/>
    </row>
    <row r="293" spans="1:47" s="78" customFormat="1" ht="12.6" customHeight="1" x14ac:dyDescent="0.3">
      <c r="A293" s="102"/>
      <c r="V293" s="102"/>
      <c r="W293" s="102"/>
      <c r="X293" s="102"/>
      <c r="Y293" s="102"/>
      <c r="Z293" s="102"/>
      <c r="AA293" s="102"/>
      <c r="AB293" s="102"/>
      <c r="AC293" s="102"/>
      <c r="AD293" s="102"/>
      <c r="AE293" s="102"/>
      <c r="AF293" s="102"/>
      <c r="AG293" s="102"/>
      <c r="AH293" s="102"/>
      <c r="AI293" s="102"/>
      <c r="AJ293" s="102"/>
      <c r="AK293" s="102"/>
      <c r="AL293" s="102"/>
      <c r="AM293" s="102"/>
      <c r="AN293" s="102"/>
      <c r="AO293" s="102"/>
      <c r="AP293" s="102"/>
      <c r="AQ293" s="102"/>
      <c r="AR293" s="102"/>
      <c r="AS293" s="102"/>
      <c r="AT293" s="102"/>
      <c r="AU293" s="102"/>
    </row>
    <row r="294" spans="1:47" s="78" customFormat="1" ht="12.6" customHeight="1" x14ac:dyDescent="0.3">
      <c r="A294" s="102"/>
      <c r="V294" s="102"/>
      <c r="W294" s="102"/>
      <c r="X294" s="102"/>
      <c r="Y294" s="102"/>
      <c r="Z294" s="102"/>
      <c r="AA294" s="102"/>
      <c r="AB294" s="102"/>
      <c r="AC294" s="102"/>
      <c r="AD294" s="102"/>
      <c r="AE294" s="102"/>
      <c r="AF294" s="102"/>
      <c r="AG294" s="102"/>
      <c r="AH294" s="102"/>
      <c r="AI294" s="102"/>
      <c r="AJ294" s="102"/>
      <c r="AK294" s="102"/>
      <c r="AL294" s="102"/>
      <c r="AM294" s="102"/>
      <c r="AN294" s="102"/>
      <c r="AO294" s="102"/>
      <c r="AP294" s="102"/>
      <c r="AQ294" s="102"/>
      <c r="AR294" s="102"/>
      <c r="AS294" s="102"/>
      <c r="AT294" s="102"/>
      <c r="AU294" s="102"/>
    </row>
    <row r="295" spans="1:47" s="78" customFormat="1" ht="12.6" customHeight="1" x14ac:dyDescent="0.3">
      <c r="A295" s="102"/>
      <c r="V295" s="102"/>
      <c r="W295" s="102"/>
      <c r="X295" s="102"/>
      <c r="Y295" s="102"/>
      <c r="Z295" s="102"/>
      <c r="AA295" s="102"/>
      <c r="AB295" s="102"/>
      <c r="AC295" s="102"/>
      <c r="AD295" s="102"/>
      <c r="AE295" s="102"/>
      <c r="AF295" s="102"/>
      <c r="AG295" s="102"/>
      <c r="AH295" s="102"/>
      <c r="AI295" s="102"/>
      <c r="AJ295" s="102"/>
      <c r="AK295" s="102"/>
      <c r="AL295" s="102"/>
      <c r="AM295" s="102"/>
      <c r="AN295" s="102"/>
      <c r="AO295" s="102"/>
      <c r="AP295" s="102"/>
      <c r="AQ295" s="102"/>
      <c r="AR295" s="102"/>
      <c r="AS295" s="102"/>
      <c r="AT295" s="102"/>
      <c r="AU295" s="102"/>
    </row>
    <row r="296" spans="1:47" s="78" customFormat="1" ht="12.6" customHeight="1" x14ac:dyDescent="0.3">
      <c r="A296" s="102"/>
      <c r="V296" s="102"/>
      <c r="W296" s="102"/>
      <c r="X296" s="102"/>
      <c r="Y296" s="102"/>
      <c r="Z296" s="102"/>
      <c r="AA296" s="102"/>
      <c r="AB296" s="102"/>
      <c r="AC296" s="102"/>
      <c r="AD296" s="102"/>
      <c r="AE296" s="102"/>
      <c r="AF296" s="102"/>
      <c r="AG296" s="102"/>
      <c r="AH296" s="102"/>
      <c r="AI296" s="102"/>
      <c r="AJ296" s="102"/>
      <c r="AK296" s="102"/>
      <c r="AL296" s="102"/>
      <c r="AM296" s="102"/>
      <c r="AN296" s="102"/>
      <c r="AO296" s="102"/>
      <c r="AP296" s="102"/>
      <c r="AQ296" s="102"/>
      <c r="AR296" s="102"/>
      <c r="AS296" s="102"/>
      <c r="AT296" s="102"/>
      <c r="AU296" s="102"/>
    </row>
    <row r="297" spans="1:47" s="78" customFormat="1" ht="12.6" customHeight="1" x14ac:dyDescent="0.3">
      <c r="A297" s="102"/>
      <c r="V297" s="102"/>
      <c r="W297" s="102"/>
      <c r="X297" s="102"/>
      <c r="Y297" s="102"/>
      <c r="Z297" s="102"/>
      <c r="AA297" s="102"/>
      <c r="AB297" s="102"/>
      <c r="AC297" s="102"/>
      <c r="AD297" s="102"/>
      <c r="AE297" s="102"/>
      <c r="AF297" s="102"/>
      <c r="AG297" s="102"/>
      <c r="AH297" s="102"/>
      <c r="AI297" s="102"/>
      <c r="AJ297" s="102"/>
      <c r="AK297" s="102"/>
      <c r="AL297" s="102"/>
      <c r="AM297" s="102"/>
      <c r="AN297" s="102"/>
      <c r="AO297" s="102"/>
      <c r="AP297" s="102"/>
      <c r="AQ297" s="102"/>
      <c r="AR297" s="102"/>
      <c r="AS297" s="102"/>
      <c r="AT297" s="102"/>
      <c r="AU297" s="102"/>
    </row>
    <row r="298" spans="1:47" s="78" customFormat="1" ht="12.6" customHeight="1" x14ac:dyDescent="0.3">
      <c r="A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row>
    <row r="299" spans="1:47" s="78" customFormat="1" ht="12.6" customHeight="1" x14ac:dyDescent="0.3">
      <c r="A299" s="102"/>
      <c r="V299" s="102"/>
      <c r="W299" s="102"/>
      <c r="X299" s="102"/>
      <c r="Y299" s="102"/>
      <c r="Z299" s="102"/>
      <c r="AA299" s="102"/>
      <c r="AB299" s="102"/>
      <c r="AC299" s="102"/>
      <c r="AD299" s="102"/>
      <c r="AE299" s="102"/>
      <c r="AF299" s="102"/>
      <c r="AG299" s="102"/>
      <c r="AH299" s="102"/>
      <c r="AI299" s="102"/>
      <c r="AJ299" s="102"/>
      <c r="AK299" s="102"/>
      <c r="AL299" s="102"/>
      <c r="AM299" s="102"/>
      <c r="AN299" s="102"/>
      <c r="AO299" s="102"/>
      <c r="AP299" s="102"/>
      <c r="AQ299" s="102"/>
      <c r="AR299" s="102"/>
      <c r="AS299" s="102"/>
      <c r="AT299" s="102"/>
      <c r="AU299" s="102"/>
    </row>
    <row r="300" spans="1:47" s="78" customFormat="1" ht="12.6" customHeight="1" x14ac:dyDescent="0.3">
      <c r="A300" s="102"/>
      <c r="V300" s="102"/>
      <c r="W300" s="102"/>
      <c r="X300" s="102"/>
      <c r="Y300" s="102"/>
      <c r="Z300" s="102"/>
      <c r="AA300" s="102"/>
      <c r="AB300" s="102"/>
      <c r="AC300" s="102"/>
      <c r="AD300" s="102"/>
      <c r="AE300" s="102"/>
      <c r="AF300" s="102"/>
      <c r="AG300" s="102"/>
      <c r="AH300" s="102"/>
      <c r="AI300" s="102"/>
      <c r="AJ300" s="102"/>
      <c r="AK300" s="102"/>
      <c r="AL300" s="102"/>
      <c r="AM300" s="102"/>
      <c r="AN300" s="102"/>
      <c r="AO300" s="102"/>
      <c r="AP300" s="102"/>
      <c r="AQ300" s="102"/>
      <c r="AR300" s="102"/>
      <c r="AS300" s="102"/>
      <c r="AT300" s="102"/>
      <c r="AU300" s="102"/>
    </row>
    <row r="301" spans="1:47" s="78" customFormat="1" ht="12.6" customHeight="1" x14ac:dyDescent="0.3">
      <c r="A301" s="102"/>
      <c r="V301" s="102"/>
      <c r="W301" s="102"/>
      <c r="X301" s="102"/>
      <c r="Y301" s="102"/>
      <c r="Z301" s="102"/>
      <c r="AA301" s="102"/>
      <c r="AB301" s="102"/>
      <c r="AC301" s="102"/>
      <c r="AD301" s="102"/>
      <c r="AE301" s="102"/>
      <c r="AF301" s="102"/>
      <c r="AG301" s="102"/>
      <c r="AH301" s="102"/>
      <c r="AI301" s="102"/>
      <c r="AJ301" s="102"/>
      <c r="AK301" s="102"/>
      <c r="AL301" s="102"/>
      <c r="AM301" s="102"/>
      <c r="AN301" s="102"/>
      <c r="AO301" s="102"/>
      <c r="AP301" s="102"/>
      <c r="AQ301" s="102"/>
      <c r="AR301" s="102"/>
      <c r="AS301" s="102"/>
      <c r="AT301" s="102"/>
      <c r="AU301" s="102"/>
    </row>
    <row r="302" spans="1:47" s="78" customFormat="1" ht="12.6" customHeight="1" x14ac:dyDescent="0.3">
      <c r="A302" s="102"/>
      <c r="V302" s="102"/>
      <c r="W302" s="102"/>
      <c r="X302" s="102"/>
      <c r="Y302" s="102"/>
      <c r="Z302" s="102"/>
      <c r="AA302" s="102"/>
      <c r="AB302" s="102"/>
      <c r="AC302" s="102"/>
      <c r="AD302" s="102"/>
      <c r="AE302" s="102"/>
      <c r="AF302" s="102"/>
      <c r="AG302" s="102"/>
      <c r="AH302" s="102"/>
      <c r="AI302" s="102"/>
      <c r="AJ302" s="102"/>
      <c r="AK302" s="102"/>
      <c r="AL302" s="102"/>
      <c r="AM302" s="102"/>
      <c r="AN302" s="102"/>
      <c r="AO302" s="102"/>
      <c r="AP302" s="102"/>
      <c r="AQ302" s="102"/>
      <c r="AR302" s="102"/>
      <c r="AS302" s="102"/>
      <c r="AT302" s="102"/>
      <c r="AU302" s="102"/>
    </row>
    <row r="303" spans="1:47" s="78" customFormat="1" ht="12.6" customHeight="1" x14ac:dyDescent="0.3">
      <c r="A303" s="102"/>
      <c r="V303" s="102"/>
      <c r="W303" s="102"/>
      <c r="X303" s="102"/>
      <c r="Y303" s="102"/>
      <c r="Z303" s="102"/>
      <c r="AA303" s="102"/>
      <c r="AB303" s="102"/>
      <c r="AC303" s="102"/>
      <c r="AD303" s="102"/>
      <c r="AE303" s="102"/>
      <c r="AF303" s="102"/>
      <c r="AG303" s="102"/>
      <c r="AH303" s="102"/>
      <c r="AI303" s="102"/>
      <c r="AJ303" s="102"/>
      <c r="AK303" s="102"/>
      <c r="AL303" s="102"/>
      <c r="AM303" s="102"/>
      <c r="AN303" s="102"/>
      <c r="AO303" s="102"/>
      <c r="AP303" s="102"/>
      <c r="AQ303" s="102"/>
      <c r="AR303" s="102"/>
      <c r="AS303" s="102"/>
      <c r="AT303" s="102"/>
      <c r="AU303" s="102"/>
    </row>
    <row r="304" spans="1:47" s="78" customFormat="1" ht="12.6" customHeight="1" x14ac:dyDescent="0.3">
      <c r="A304" s="102"/>
      <c r="V304" s="102"/>
      <c r="W304" s="102"/>
      <c r="X304" s="102"/>
      <c r="Y304" s="102"/>
      <c r="Z304" s="102"/>
      <c r="AA304" s="102"/>
      <c r="AB304" s="102"/>
      <c r="AC304" s="102"/>
      <c r="AD304" s="102"/>
      <c r="AE304" s="102"/>
      <c r="AF304" s="102"/>
      <c r="AG304" s="102"/>
      <c r="AH304" s="102"/>
      <c r="AI304" s="102"/>
      <c r="AJ304" s="102"/>
      <c r="AK304" s="102"/>
      <c r="AL304" s="102"/>
      <c r="AM304" s="102"/>
      <c r="AN304" s="102"/>
      <c r="AO304" s="102"/>
      <c r="AP304" s="102"/>
      <c r="AQ304" s="102"/>
      <c r="AR304" s="102"/>
      <c r="AS304" s="102"/>
      <c r="AT304" s="102"/>
      <c r="AU304" s="102"/>
    </row>
    <row r="305" spans="1:47" s="78" customFormat="1" ht="12.6" customHeight="1" x14ac:dyDescent="0.3">
      <c r="A305" s="102"/>
      <c r="V305" s="102"/>
      <c r="W305" s="102"/>
      <c r="X305" s="102"/>
      <c r="Y305" s="102"/>
      <c r="Z305" s="102"/>
      <c r="AA305" s="102"/>
      <c r="AB305" s="102"/>
      <c r="AC305" s="102"/>
      <c r="AD305" s="102"/>
      <c r="AE305" s="102"/>
      <c r="AF305" s="102"/>
      <c r="AG305" s="102"/>
      <c r="AH305" s="102"/>
      <c r="AI305" s="102"/>
      <c r="AJ305" s="102"/>
      <c r="AK305" s="102"/>
      <c r="AL305" s="102"/>
      <c r="AM305" s="102"/>
      <c r="AN305" s="102"/>
      <c r="AO305" s="102"/>
      <c r="AP305" s="102"/>
      <c r="AQ305" s="102"/>
      <c r="AR305" s="102"/>
      <c r="AS305" s="102"/>
      <c r="AT305" s="102"/>
      <c r="AU305" s="102"/>
    </row>
    <row r="306" spans="1:47" s="78" customFormat="1" ht="12.6" customHeight="1" x14ac:dyDescent="0.3">
      <c r="A306" s="102"/>
      <c r="V306" s="102"/>
      <c r="W306" s="102"/>
      <c r="X306" s="102"/>
      <c r="Y306" s="102"/>
      <c r="Z306" s="102"/>
      <c r="AA306" s="102"/>
      <c r="AB306" s="102"/>
      <c r="AC306" s="102"/>
      <c r="AD306" s="102"/>
      <c r="AE306" s="102"/>
      <c r="AF306" s="102"/>
      <c r="AG306" s="102"/>
      <c r="AH306" s="102"/>
      <c r="AI306" s="102"/>
      <c r="AJ306" s="102"/>
      <c r="AK306" s="102"/>
      <c r="AL306" s="102"/>
      <c r="AM306" s="102"/>
      <c r="AN306" s="102"/>
      <c r="AO306" s="102"/>
      <c r="AP306" s="102"/>
      <c r="AQ306" s="102"/>
      <c r="AR306" s="102"/>
      <c r="AS306" s="102"/>
      <c r="AT306" s="102"/>
      <c r="AU306" s="102"/>
    </row>
    <row r="307" spans="1:47" s="78" customFormat="1" ht="12.6" customHeight="1" x14ac:dyDescent="0.3">
      <c r="A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row>
    <row r="308" spans="1:47" s="78" customFormat="1" ht="12.6" customHeight="1" x14ac:dyDescent="0.3">
      <c r="A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row>
    <row r="309" spans="1:47" s="78" customFormat="1" ht="12.6" customHeight="1" x14ac:dyDescent="0.3">
      <c r="A309" s="102"/>
      <c r="V309" s="102"/>
      <c r="W309" s="102"/>
      <c r="X309" s="102"/>
      <c r="Y309" s="102"/>
      <c r="Z309" s="102"/>
      <c r="AA309" s="102"/>
      <c r="AB309" s="102"/>
      <c r="AC309" s="102"/>
      <c r="AD309" s="102"/>
      <c r="AE309" s="102"/>
      <c r="AF309" s="102"/>
      <c r="AG309" s="102"/>
      <c r="AH309" s="102"/>
      <c r="AI309" s="102"/>
      <c r="AJ309" s="102"/>
      <c r="AK309" s="102"/>
      <c r="AL309" s="102"/>
      <c r="AM309" s="102"/>
      <c r="AN309" s="102"/>
      <c r="AO309" s="102"/>
      <c r="AP309" s="102"/>
      <c r="AQ309" s="102"/>
      <c r="AR309" s="102"/>
      <c r="AS309" s="102"/>
      <c r="AT309" s="102"/>
      <c r="AU309" s="102"/>
    </row>
    <row r="310" spans="1:47" s="78" customFormat="1" ht="12.6" customHeight="1" x14ac:dyDescent="0.3">
      <c r="A310" s="102"/>
      <c r="V310" s="102"/>
      <c r="W310" s="102"/>
      <c r="X310" s="102"/>
      <c r="Y310" s="102"/>
      <c r="Z310" s="102"/>
      <c r="AA310" s="102"/>
      <c r="AB310" s="102"/>
      <c r="AC310" s="102"/>
      <c r="AD310" s="102"/>
      <c r="AE310" s="102"/>
      <c r="AF310" s="102"/>
      <c r="AG310" s="102"/>
      <c r="AH310" s="102"/>
      <c r="AI310" s="102"/>
      <c r="AJ310" s="102"/>
      <c r="AK310" s="102"/>
      <c r="AL310" s="102"/>
      <c r="AM310" s="102"/>
      <c r="AN310" s="102"/>
      <c r="AO310" s="102"/>
      <c r="AP310" s="102"/>
      <c r="AQ310" s="102"/>
      <c r="AR310" s="102"/>
      <c r="AS310" s="102"/>
      <c r="AT310" s="102"/>
      <c r="AU310" s="102"/>
    </row>
    <row r="311" spans="1:47" s="78" customFormat="1" ht="12.6" customHeight="1" x14ac:dyDescent="0.3">
      <c r="A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row>
    <row r="312" spans="1:47" s="78" customFormat="1" ht="12.6" customHeight="1" x14ac:dyDescent="0.3">
      <c r="A312" s="102"/>
      <c r="V312" s="102"/>
      <c r="W312" s="102"/>
      <c r="X312" s="102"/>
      <c r="Y312" s="102"/>
      <c r="Z312" s="102"/>
      <c r="AA312" s="102"/>
      <c r="AB312" s="102"/>
      <c r="AC312" s="102"/>
      <c r="AD312" s="102"/>
      <c r="AE312" s="102"/>
      <c r="AF312" s="102"/>
      <c r="AG312" s="102"/>
      <c r="AH312" s="102"/>
      <c r="AI312" s="102"/>
      <c r="AJ312" s="102"/>
      <c r="AK312" s="102"/>
      <c r="AL312" s="102"/>
      <c r="AM312" s="102"/>
      <c r="AN312" s="102"/>
      <c r="AO312" s="102"/>
      <c r="AP312" s="102"/>
      <c r="AQ312" s="102"/>
      <c r="AR312" s="102"/>
      <c r="AS312" s="102"/>
      <c r="AT312" s="102"/>
      <c r="AU312" s="102"/>
    </row>
    <row r="313" spans="1:47" s="78" customFormat="1" ht="12.6" customHeight="1" x14ac:dyDescent="0.3">
      <c r="A313" s="102"/>
      <c r="V313" s="102"/>
      <c r="W313" s="102"/>
      <c r="X313" s="102"/>
      <c r="Y313" s="102"/>
      <c r="Z313" s="102"/>
      <c r="AA313" s="102"/>
      <c r="AB313" s="102"/>
      <c r="AC313" s="102"/>
      <c r="AD313" s="102"/>
      <c r="AE313" s="102"/>
      <c r="AF313" s="102"/>
      <c r="AG313" s="102"/>
      <c r="AH313" s="102"/>
      <c r="AI313" s="102"/>
      <c r="AJ313" s="102"/>
      <c r="AK313" s="102"/>
      <c r="AL313" s="102"/>
      <c r="AM313" s="102"/>
      <c r="AN313" s="102"/>
      <c r="AO313" s="102"/>
      <c r="AP313" s="102"/>
      <c r="AQ313" s="102"/>
      <c r="AR313" s="102"/>
      <c r="AS313" s="102"/>
      <c r="AT313" s="102"/>
      <c r="AU313" s="102"/>
    </row>
    <row r="314" spans="1:47" s="78" customFormat="1" ht="12.6" customHeight="1" x14ac:dyDescent="0.3">
      <c r="A314" s="102"/>
      <c r="V314" s="102"/>
      <c r="W314" s="102"/>
      <c r="X314" s="102"/>
      <c r="Y314" s="102"/>
      <c r="Z314" s="102"/>
      <c r="AA314" s="102"/>
      <c r="AB314" s="102"/>
      <c r="AC314" s="102"/>
      <c r="AD314" s="102"/>
      <c r="AE314" s="102"/>
      <c r="AF314" s="102"/>
      <c r="AG314" s="102"/>
      <c r="AH314" s="102"/>
      <c r="AI314" s="102"/>
      <c r="AJ314" s="102"/>
      <c r="AK314" s="102"/>
      <c r="AL314" s="102"/>
      <c r="AM314" s="102"/>
      <c r="AN314" s="102"/>
      <c r="AO314" s="102"/>
      <c r="AP314" s="102"/>
      <c r="AQ314" s="102"/>
      <c r="AR314" s="102"/>
      <c r="AS314" s="102"/>
      <c r="AT314" s="102"/>
      <c r="AU314" s="102"/>
    </row>
    <row r="315" spans="1:47" s="78" customFormat="1" ht="12.6" customHeight="1" x14ac:dyDescent="0.3">
      <c r="A315" s="102"/>
      <c r="V315" s="102"/>
      <c r="W315" s="102"/>
      <c r="X315" s="102"/>
      <c r="Y315" s="102"/>
      <c r="Z315" s="102"/>
      <c r="AA315" s="102"/>
      <c r="AB315" s="102"/>
      <c r="AC315" s="102"/>
      <c r="AD315" s="102"/>
      <c r="AE315" s="102"/>
      <c r="AF315" s="102"/>
      <c r="AG315" s="102"/>
      <c r="AH315" s="102"/>
      <c r="AI315" s="102"/>
      <c r="AJ315" s="102"/>
      <c r="AK315" s="102"/>
      <c r="AL315" s="102"/>
      <c r="AM315" s="102"/>
      <c r="AN315" s="102"/>
      <c r="AO315" s="102"/>
      <c r="AP315" s="102"/>
      <c r="AQ315" s="102"/>
      <c r="AR315" s="102"/>
      <c r="AS315" s="102"/>
      <c r="AT315" s="102"/>
      <c r="AU315" s="102"/>
    </row>
    <row r="316" spans="1:47" s="78" customFormat="1" ht="12.6" customHeight="1" x14ac:dyDescent="0.3">
      <c r="A316" s="102"/>
      <c r="V316" s="102"/>
      <c r="W316" s="102"/>
      <c r="X316" s="102"/>
      <c r="Y316" s="102"/>
      <c r="Z316" s="102"/>
      <c r="AA316" s="102"/>
      <c r="AB316" s="102"/>
      <c r="AC316" s="102"/>
      <c r="AD316" s="102"/>
      <c r="AE316" s="102"/>
      <c r="AF316" s="102"/>
      <c r="AG316" s="102"/>
      <c r="AH316" s="102"/>
      <c r="AI316" s="102"/>
      <c r="AJ316" s="102"/>
      <c r="AK316" s="102"/>
      <c r="AL316" s="102"/>
      <c r="AM316" s="102"/>
      <c r="AN316" s="102"/>
      <c r="AO316" s="102"/>
      <c r="AP316" s="102"/>
      <c r="AQ316" s="102"/>
      <c r="AR316" s="102"/>
      <c r="AS316" s="102"/>
      <c r="AT316" s="102"/>
      <c r="AU316" s="102"/>
    </row>
    <row r="317" spans="1:47" s="78" customFormat="1" ht="12.6" customHeight="1" x14ac:dyDescent="0.3">
      <c r="A317" s="102"/>
      <c r="V317" s="102"/>
      <c r="W317" s="102"/>
      <c r="X317" s="102"/>
      <c r="Y317" s="102"/>
      <c r="Z317" s="102"/>
      <c r="AA317" s="102"/>
      <c r="AB317" s="102"/>
      <c r="AC317" s="102"/>
      <c r="AD317" s="102"/>
      <c r="AE317" s="102"/>
      <c r="AF317" s="102"/>
      <c r="AG317" s="102"/>
      <c r="AH317" s="102"/>
      <c r="AI317" s="102"/>
      <c r="AJ317" s="102"/>
      <c r="AK317" s="102"/>
      <c r="AL317" s="102"/>
      <c r="AM317" s="102"/>
      <c r="AN317" s="102"/>
      <c r="AO317" s="102"/>
      <c r="AP317" s="102"/>
      <c r="AQ317" s="102"/>
      <c r="AR317" s="102"/>
      <c r="AS317" s="102"/>
      <c r="AT317" s="102"/>
      <c r="AU317" s="102"/>
    </row>
    <row r="318" spans="1:47" s="78" customFormat="1" ht="12.6" customHeight="1" x14ac:dyDescent="0.3">
      <c r="A318" s="102"/>
      <c r="V318" s="102"/>
      <c r="W318" s="102"/>
      <c r="X318" s="102"/>
      <c r="Y318" s="102"/>
      <c r="Z318" s="102"/>
      <c r="AA318" s="102"/>
      <c r="AB318" s="102"/>
      <c r="AC318" s="102"/>
      <c r="AD318" s="102"/>
      <c r="AE318" s="102"/>
      <c r="AF318" s="102"/>
      <c r="AG318" s="102"/>
      <c r="AH318" s="102"/>
      <c r="AI318" s="102"/>
      <c r="AJ318" s="102"/>
      <c r="AK318" s="102"/>
      <c r="AL318" s="102"/>
      <c r="AM318" s="102"/>
      <c r="AN318" s="102"/>
      <c r="AO318" s="102"/>
      <c r="AP318" s="102"/>
      <c r="AQ318" s="102"/>
      <c r="AR318" s="102"/>
      <c r="AS318" s="102"/>
      <c r="AT318" s="102"/>
      <c r="AU318" s="102"/>
    </row>
    <row r="319" spans="1:47" s="78" customFormat="1" ht="12.6" customHeight="1" x14ac:dyDescent="0.3">
      <c r="A319" s="102"/>
      <c r="V319" s="102"/>
      <c r="W319" s="102"/>
      <c r="X319" s="102"/>
      <c r="Y319" s="102"/>
      <c r="Z319" s="102"/>
      <c r="AA319" s="102"/>
      <c r="AB319" s="102"/>
      <c r="AC319" s="102"/>
      <c r="AD319" s="102"/>
      <c r="AE319" s="102"/>
      <c r="AF319" s="102"/>
      <c r="AG319" s="102"/>
      <c r="AH319" s="102"/>
      <c r="AI319" s="102"/>
      <c r="AJ319" s="102"/>
      <c r="AK319" s="102"/>
      <c r="AL319" s="102"/>
      <c r="AM319" s="102"/>
      <c r="AN319" s="102"/>
      <c r="AO319" s="102"/>
      <c r="AP319" s="102"/>
      <c r="AQ319" s="102"/>
      <c r="AR319" s="102"/>
      <c r="AS319" s="102"/>
      <c r="AT319" s="102"/>
      <c r="AU319" s="102"/>
    </row>
    <row r="320" spans="1:47" s="78" customFormat="1" ht="12.6" customHeight="1" x14ac:dyDescent="0.3">
      <c r="A320" s="102"/>
      <c r="V320" s="102"/>
      <c r="W320" s="102"/>
      <c r="X320" s="102"/>
      <c r="Y320" s="102"/>
      <c r="Z320" s="102"/>
      <c r="AA320" s="102"/>
      <c r="AB320" s="102"/>
      <c r="AC320" s="102"/>
      <c r="AD320" s="102"/>
      <c r="AE320" s="102"/>
      <c r="AF320" s="102"/>
      <c r="AG320" s="102"/>
      <c r="AH320" s="102"/>
      <c r="AI320" s="102"/>
      <c r="AJ320" s="102"/>
      <c r="AK320" s="102"/>
      <c r="AL320" s="102"/>
      <c r="AM320" s="102"/>
      <c r="AN320" s="102"/>
      <c r="AO320" s="102"/>
      <c r="AP320" s="102"/>
      <c r="AQ320" s="102"/>
      <c r="AR320" s="102"/>
      <c r="AS320" s="102"/>
      <c r="AT320" s="102"/>
      <c r="AU320" s="102"/>
    </row>
    <row r="321" spans="1:47" s="78" customFormat="1" ht="12.6" customHeight="1" x14ac:dyDescent="0.3">
      <c r="A321" s="102"/>
      <c r="V321" s="102"/>
      <c r="W321" s="102"/>
      <c r="X321" s="102"/>
      <c r="Y321" s="102"/>
      <c r="Z321" s="102"/>
      <c r="AA321" s="102"/>
      <c r="AB321" s="102"/>
      <c r="AC321" s="102"/>
      <c r="AD321" s="102"/>
      <c r="AE321" s="102"/>
      <c r="AF321" s="102"/>
      <c r="AG321" s="102"/>
      <c r="AH321" s="102"/>
      <c r="AI321" s="102"/>
      <c r="AJ321" s="102"/>
      <c r="AK321" s="102"/>
      <c r="AL321" s="102"/>
      <c r="AM321" s="102"/>
      <c r="AN321" s="102"/>
      <c r="AO321" s="102"/>
      <c r="AP321" s="102"/>
      <c r="AQ321" s="102"/>
      <c r="AR321" s="102"/>
      <c r="AS321" s="102"/>
      <c r="AT321" s="102"/>
      <c r="AU321" s="102"/>
    </row>
    <row r="322" spans="1:47" s="78" customFormat="1" ht="12.6" customHeight="1" x14ac:dyDescent="0.3">
      <c r="A322" s="102"/>
      <c r="V322" s="102"/>
      <c r="W322" s="102"/>
      <c r="X322" s="102"/>
      <c r="Y322" s="102"/>
      <c r="Z322" s="102"/>
      <c r="AA322" s="102"/>
      <c r="AB322" s="102"/>
      <c r="AC322" s="102"/>
      <c r="AD322" s="102"/>
      <c r="AE322" s="102"/>
      <c r="AF322" s="102"/>
      <c r="AG322" s="102"/>
      <c r="AH322" s="102"/>
      <c r="AI322" s="102"/>
      <c r="AJ322" s="102"/>
      <c r="AK322" s="102"/>
      <c r="AL322" s="102"/>
      <c r="AM322" s="102"/>
      <c r="AN322" s="102"/>
      <c r="AO322" s="102"/>
      <c r="AP322" s="102"/>
      <c r="AQ322" s="102"/>
      <c r="AR322" s="102"/>
      <c r="AS322" s="102"/>
      <c r="AT322" s="102"/>
      <c r="AU322" s="102"/>
    </row>
    <row r="323" spans="1:47" s="78" customFormat="1" ht="12.6" customHeight="1" x14ac:dyDescent="0.3">
      <c r="A323" s="102"/>
      <c r="V323" s="102"/>
      <c r="W323" s="102"/>
      <c r="X323" s="102"/>
      <c r="Y323" s="102"/>
      <c r="Z323" s="102"/>
      <c r="AA323" s="102"/>
      <c r="AB323" s="102"/>
      <c r="AC323" s="102"/>
      <c r="AD323" s="102"/>
      <c r="AE323" s="102"/>
      <c r="AF323" s="102"/>
      <c r="AG323" s="102"/>
      <c r="AH323" s="102"/>
      <c r="AI323" s="102"/>
      <c r="AJ323" s="102"/>
      <c r="AK323" s="102"/>
      <c r="AL323" s="102"/>
      <c r="AM323" s="102"/>
      <c r="AN323" s="102"/>
      <c r="AO323" s="102"/>
      <c r="AP323" s="102"/>
      <c r="AQ323" s="102"/>
      <c r="AR323" s="102"/>
      <c r="AS323" s="102"/>
      <c r="AT323" s="102"/>
      <c r="AU323" s="102"/>
    </row>
    <row r="324" spans="1:47" s="78" customFormat="1" ht="12.6" customHeight="1" x14ac:dyDescent="0.3">
      <c r="A324" s="102"/>
      <c r="V324" s="102"/>
      <c r="W324" s="102"/>
      <c r="X324" s="102"/>
      <c r="Y324" s="102"/>
      <c r="Z324" s="102"/>
      <c r="AA324" s="102"/>
      <c r="AB324" s="102"/>
      <c r="AC324" s="102"/>
      <c r="AD324" s="102"/>
      <c r="AE324" s="102"/>
      <c r="AF324" s="102"/>
      <c r="AG324" s="102"/>
      <c r="AH324" s="102"/>
      <c r="AI324" s="102"/>
      <c r="AJ324" s="102"/>
      <c r="AK324" s="102"/>
      <c r="AL324" s="102"/>
      <c r="AM324" s="102"/>
      <c r="AN324" s="102"/>
      <c r="AO324" s="102"/>
      <c r="AP324" s="102"/>
      <c r="AQ324" s="102"/>
      <c r="AR324" s="102"/>
      <c r="AS324" s="102"/>
      <c r="AT324" s="102"/>
      <c r="AU324" s="102"/>
    </row>
    <row r="325" spans="1:47" s="78" customFormat="1" ht="12.6" customHeight="1" x14ac:dyDescent="0.3">
      <c r="A325" s="102"/>
      <c r="V325" s="102"/>
      <c r="W325" s="102"/>
      <c r="X325" s="102"/>
      <c r="Y325" s="102"/>
      <c r="Z325" s="102"/>
      <c r="AA325" s="102"/>
      <c r="AB325" s="102"/>
      <c r="AC325" s="102"/>
      <c r="AD325" s="102"/>
      <c r="AE325" s="102"/>
      <c r="AF325" s="102"/>
      <c r="AG325" s="102"/>
      <c r="AH325" s="102"/>
      <c r="AI325" s="102"/>
      <c r="AJ325" s="102"/>
      <c r="AK325" s="102"/>
      <c r="AL325" s="102"/>
      <c r="AM325" s="102"/>
      <c r="AN325" s="102"/>
      <c r="AO325" s="102"/>
      <c r="AP325" s="102"/>
      <c r="AQ325" s="102"/>
      <c r="AR325" s="102"/>
      <c r="AS325" s="102"/>
      <c r="AT325" s="102"/>
      <c r="AU325" s="102"/>
    </row>
    <row r="326" spans="1:47" s="78" customFormat="1" ht="12.6" customHeight="1" x14ac:dyDescent="0.3">
      <c r="A326" s="102"/>
      <c r="V326" s="102"/>
      <c r="W326" s="102"/>
      <c r="X326" s="102"/>
      <c r="Y326" s="102"/>
      <c r="Z326" s="102"/>
      <c r="AA326" s="102"/>
      <c r="AB326" s="102"/>
      <c r="AC326" s="102"/>
      <c r="AD326" s="102"/>
      <c r="AE326" s="102"/>
      <c r="AF326" s="102"/>
      <c r="AG326" s="102"/>
      <c r="AH326" s="102"/>
      <c r="AI326" s="102"/>
      <c r="AJ326" s="102"/>
      <c r="AK326" s="102"/>
      <c r="AL326" s="102"/>
      <c r="AM326" s="102"/>
      <c r="AN326" s="102"/>
      <c r="AO326" s="102"/>
      <c r="AP326" s="102"/>
      <c r="AQ326" s="102"/>
      <c r="AR326" s="102"/>
      <c r="AS326" s="102"/>
      <c r="AT326" s="102"/>
      <c r="AU326" s="102"/>
    </row>
    <row r="327" spans="1:47" s="78" customFormat="1" ht="12.6" customHeight="1" x14ac:dyDescent="0.3">
      <c r="A327" s="102"/>
      <c r="V327" s="102"/>
      <c r="W327" s="102"/>
      <c r="X327" s="102"/>
      <c r="Y327" s="102"/>
      <c r="Z327" s="102"/>
      <c r="AA327" s="102"/>
      <c r="AB327" s="102"/>
      <c r="AC327" s="102"/>
      <c r="AD327" s="102"/>
      <c r="AE327" s="102"/>
      <c r="AF327" s="102"/>
      <c r="AG327" s="102"/>
      <c r="AH327" s="102"/>
      <c r="AI327" s="102"/>
      <c r="AJ327" s="102"/>
      <c r="AK327" s="102"/>
      <c r="AL327" s="102"/>
      <c r="AM327" s="102"/>
      <c r="AN327" s="102"/>
      <c r="AO327" s="102"/>
      <c r="AP327" s="102"/>
      <c r="AQ327" s="102"/>
      <c r="AR327" s="102"/>
      <c r="AS327" s="102"/>
      <c r="AT327" s="102"/>
      <c r="AU327" s="102"/>
    </row>
    <row r="328" spans="1:47" s="78" customFormat="1" ht="12.6" customHeight="1" x14ac:dyDescent="0.3">
      <c r="A328" s="102"/>
      <c r="V328" s="102"/>
      <c r="W328" s="102"/>
      <c r="X328" s="102"/>
      <c r="Y328" s="102"/>
      <c r="Z328" s="102"/>
      <c r="AA328" s="102"/>
      <c r="AB328" s="102"/>
      <c r="AC328" s="102"/>
      <c r="AD328" s="102"/>
      <c r="AE328" s="102"/>
      <c r="AF328" s="102"/>
      <c r="AG328" s="102"/>
      <c r="AH328" s="102"/>
      <c r="AI328" s="102"/>
      <c r="AJ328" s="102"/>
      <c r="AK328" s="102"/>
      <c r="AL328" s="102"/>
      <c r="AM328" s="102"/>
      <c r="AN328" s="102"/>
      <c r="AO328" s="102"/>
      <c r="AP328" s="102"/>
      <c r="AQ328" s="102"/>
      <c r="AR328" s="102"/>
      <c r="AS328" s="102"/>
      <c r="AT328" s="102"/>
      <c r="AU328" s="102"/>
    </row>
    <row r="329" spans="1:47" s="78" customFormat="1" ht="12.6" customHeight="1" x14ac:dyDescent="0.3">
      <c r="A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row>
    <row r="330" spans="1:47" s="78" customFormat="1" ht="12.6" customHeight="1" x14ac:dyDescent="0.3">
      <c r="A330" s="102"/>
      <c r="V330" s="102"/>
      <c r="W330" s="102"/>
      <c r="X330" s="102"/>
      <c r="Y330" s="102"/>
      <c r="Z330" s="102"/>
      <c r="AA330" s="102"/>
      <c r="AB330" s="102"/>
      <c r="AC330" s="102"/>
      <c r="AD330" s="102"/>
      <c r="AE330" s="102"/>
      <c r="AF330" s="102"/>
      <c r="AG330" s="102"/>
      <c r="AH330" s="102"/>
      <c r="AI330" s="102"/>
      <c r="AJ330" s="102"/>
      <c r="AK330" s="102"/>
      <c r="AL330" s="102"/>
      <c r="AM330" s="102"/>
      <c r="AN330" s="102"/>
      <c r="AO330" s="102"/>
      <c r="AP330" s="102"/>
      <c r="AQ330" s="102"/>
      <c r="AR330" s="102"/>
      <c r="AS330" s="102"/>
      <c r="AT330" s="102"/>
      <c r="AU330" s="102"/>
    </row>
    <row r="331" spans="1:47" s="78" customFormat="1" ht="12.6" customHeight="1" x14ac:dyDescent="0.3">
      <c r="A331" s="102"/>
      <c r="V331" s="102"/>
      <c r="W331" s="102"/>
      <c r="X331" s="102"/>
      <c r="Y331" s="102"/>
      <c r="Z331" s="102"/>
      <c r="AA331" s="102"/>
      <c r="AB331" s="102"/>
      <c r="AC331" s="102"/>
      <c r="AD331" s="102"/>
      <c r="AE331" s="102"/>
      <c r="AF331" s="102"/>
      <c r="AG331" s="102"/>
      <c r="AH331" s="102"/>
      <c r="AI331" s="102"/>
      <c r="AJ331" s="102"/>
      <c r="AK331" s="102"/>
      <c r="AL331" s="102"/>
      <c r="AM331" s="102"/>
      <c r="AN331" s="102"/>
      <c r="AO331" s="102"/>
      <c r="AP331" s="102"/>
      <c r="AQ331" s="102"/>
      <c r="AR331" s="102"/>
      <c r="AS331" s="102"/>
      <c r="AT331" s="102"/>
      <c r="AU331" s="102"/>
    </row>
    <row r="332" spans="1:47" s="78" customFormat="1" ht="12.6" customHeight="1" x14ac:dyDescent="0.3">
      <c r="A332" s="102"/>
      <c r="V332" s="102"/>
      <c r="W332" s="102"/>
      <c r="X332" s="102"/>
      <c r="Y332" s="102"/>
      <c r="Z332" s="102"/>
      <c r="AA332" s="102"/>
      <c r="AB332" s="102"/>
      <c r="AC332" s="102"/>
      <c r="AD332" s="102"/>
      <c r="AE332" s="102"/>
      <c r="AF332" s="102"/>
      <c r="AG332" s="102"/>
      <c r="AH332" s="102"/>
      <c r="AI332" s="102"/>
      <c r="AJ332" s="102"/>
      <c r="AK332" s="102"/>
      <c r="AL332" s="102"/>
      <c r="AM332" s="102"/>
      <c r="AN332" s="102"/>
      <c r="AO332" s="102"/>
      <c r="AP332" s="102"/>
      <c r="AQ332" s="102"/>
      <c r="AR332" s="102"/>
      <c r="AS332" s="102"/>
      <c r="AT332" s="102"/>
      <c r="AU332" s="102"/>
    </row>
    <row r="333" spans="1:47" s="78" customFormat="1" ht="12.6" customHeight="1" x14ac:dyDescent="0.3">
      <c r="A333" s="102"/>
      <c r="V333" s="102"/>
      <c r="W333" s="102"/>
      <c r="X333" s="102"/>
      <c r="Y333" s="102"/>
      <c r="Z333" s="102"/>
      <c r="AA333" s="102"/>
      <c r="AB333" s="102"/>
      <c r="AC333" s="102"/>
      <c r="AD333" s="102"/>
      <c r="AE333" s="102"/>
      <c r="AF333" s="102"/>
      <c r="AG333" s="102"/>
      <c r="AH333" s="102"/>
      <c r="AI333" s="102"/>
      <c r="AJ333" s="102"/>
      <c r="AK333" s="102"/>
      <c r="AL333" s="102"/>
      <c r="AM333" s="102"/>
      <c r="AN333" s="102"/>
      <c r="AO333" s="102"/>
      <c r="AP333" s="102"/>
      <c r="AQ333" s="102"/>
      <c r="AR333" s="102"/>
      <c r="AS333" s="102"/>
      <c r="AT333" s="102"/>
      <c r="AU333" s="102"/>
    </row>
    <row r="334" spans="1:47" s="78" customFormat="1" ht="12.6" customHeight="1" x14ac:dyDescent="0.3">
      <c r="A334" s="102"/>
      <c r="V334" s="102"/>
      <c r="W334" s="102"/>
      <c r="X334" s="102"/>
      <c r="Y334" s="102"/>
      <c r="Z334" s="102"/>
      <c r="AA334" s="102"/>
      <c r="AB334" s="102"/>
      <c r="AC334" s="102"/>
      <c r="AD334" s="102"/>
      <c r="AE334" s="102"/>
      <c r="AF334" s="102"/>
      <c r="AG334" s="102"/>
      <c r="AH334" s="102"/>
      <c r="AI334" s="102"/>
      <c r="AJ334" s="102"/>
      <c r="AK334" s="102"/>
      <c r="AL334" s="102"/>
      <c r="AM334" s="102"/>
      <c r="AN334" s="102"/>
      <c r="AO334" s="102"/>
      <c r="AP334" s="102"/>
      <c r="AQ334" s="102"/>
      <c r="AR334" s="102"/>
      <c r="AS334" s="102"/>
      <c r="AT334" s="102"/>
      <c r="AU334" s="102"/>
    </row>
    <row r="335" spans="1:47" s="78" customFormat="1" ht="12.6" customHeight="1" x14ac:dyDescent="0.3">
      <c r="A335" s="102"/>
      <c r="V335" s="102"/>
      <c r="W335" s="102"/>
      <c r="X335" s="102"/>
      <c r="Y335" s="102"/>
      <c r="Z335" s="102"/>
      <c r="AA335" s="102"/>
      <c r="AB335" s="102"/>
      <c r="AC335" s="102"/>
      <c r="AD335" s="102"/>
      <c r="AE335" s="102"/>
      <c r="AF335" s="102"/>
      <c r="AG335" s="102"/>
      <c r="AH335" s="102"/>
      <c r="AI335" s="102"/>
      <c r="AJ335" s="102"/>
      <c r="AK335" s="102"/>
      <c r="AL335" s="102"/>
      <c r="AM335" s="102"/>
      <c r="AN335" s="102"/>
      <c r="AO335" s="102"/>
      <c r="AP335" s="102"/>
      <c r="AQ335" s="102"/>
      <c r="AR335" s="102"/>
      <c r="AS335" s="102"/>
      <c r="AT335" s="102"/>
      <c r="AU335" s="102"/>
    </row>
    <row r="336" spans="1:47" s="78" customFormat="1" ht="12.6" customHeight="1" x14ac:dyDescent="0.3">
      <c r="A336" s="102"/>
      <c r="V336" s="102"/>
      <c r="W336" s="102"/>
      <c r="X336" s="102"/>
      <c r="Y336" s="102"/>
      <c r="Z336" s="102"/>
      <c r="AA336" s="102"/>
      <c r="AB336" s="102"/>
      <c r="AC336" s="102"/>
      <c r="AD336" s="102"/>
      <c r="AE336" s="102"/>
      <c r="AF336" s="102"/>
      <c r="AG336" s="102"/>
      <c r="AH336" s="102"/>
      <c r="AI336" s="102"/>
      <c r="AJ336" s="102"/>
      <c r="AK336" s="102"/>
      <c r="AL336" s="102"/>
      <c r="AM336" s="102"/>
      <c r="AN336" s="102"/>
      <c r="AO336" s="102"/>
      <c r="AP336" s="102"/>
      <c r="AQ336" s="102"/>
      <c r="AR336" s="102"/>
      <c r="AS336" s="102"/>
      <c r="AT336" s="102"/>
      <c r="AU336" s="102"/>
    </row>
    <row r="337" spans="1:47" s="78" customFormat="1" ht="12.6" customHeight="1" x14ac:dyDescent="0.3">
      <c r="A337" s="102"/>
      <c r="V337" s="102"/>
      <c r="W337" s="102"/>
      <c r="X337" s="102"/>
      <c r="Y337" s="102"/>
      <c r="Z337" s="102"/>
      <c r="AA337" s="102"/>
      <c r="AB337" s="102"/>
      <c r="AC337" s="102"/>
      <c r="AD337" s="102"/>
      <c r="AE337" s="102"/>
      <c r="AF337" s="102"/>
      <c r="AG337" s="102"/>
      <c r="AH337" s="102"/>
      <c r="AI337" s="102"/>
      <c r="AJ337" s="102"/>
      <c r="AK337" s="102"/>
      <c r="AL337" s="102"/>
      <c r="AM337" s="102"/>
      <c r="AN337" s="102"/>
      <c r="AO337" s="102"/>
      <c r="AP337" s="102"/>
      <c r="AQ337" s="102"/>
      <c r="AR337" s="102"/>
      <c r="AS337" s="102"/>
      <c r="AT337" s="102"/>
      <c r="AU337" s="102"/>
    </row>
    <row r="338" spans="1:47" s="78" customFormat="1" ht="12.6" customHeight="1" x14ac:dyDescent="0.3">
      <c r="A338" s="102"/>
      <c r="V338" s="102"/>
      <c r="W338" s="102"/>
      <c r="X338" s="102"/>
      <c r="Y338" s="102"/>
      <c r="Z338" s="102"/>
      <c r="AA338" s="102"/>
      <c r="AB338" s="102"/>
      <c r="AC338" s="102"/>
      <c r="AD338" s="102"/>
      <c r="AE338" s="102"/>
      <c r="AF338" s="102"/>
      <c r="AG338" s="102"/>
      <c r="AH338" s="102"/>
      <c r="AI338" s="102"/>
      <c r="AJ338" s="102"/>
      <c r="AK338" s="102"/>
      <c r="AL338" s="102"/>
      <c r="AM338" s="102"/>
      <c r="AN338" s="102"/>
      <c r="AO338" s="102"/>
      <c r="AP338" s="102"/>
      <c r="AQ338" s="102"/>
      <c r="AR338" s="102"/>
      <c r="AS338" s="102"/>
      <c r="AT338" s="102"/>
      <c r="AU338" s="102"/>
    </row>
    <row r="339" spans="1:47" s="78" customFormat="1" ht="12.6" customHeight="1" x14ac:dyDescent="0.3">
      <c r="A339" s="102"/>
      <c r="V339" s="102"/>
      <c r="W339" s="102"/>
      <c r="X339" s="102"/>
      <c r="Y339" s="102"/>
      <c r="Z339" s="102"/>
      <c r="AA339" s="102"/>
      <c r="AB339" s="102"/>
      <c r="AC339" s="102"/>
      <c r="AD339" s="102"/>
      <c r="AE339" s="102"/>
      <c r="AF339" s="102"/>
      <c r="AG339" s="102"/>
      <c r="AH339" s="102"/>
      <c r="AI339" s="102"/>
      <c r="AJ339" s="102"/>
      <c r="AK339" s="102"/>
      <c r="AL339" s="102"/>
      <c r="AM339" s="102"/>
      <c r="AN339" s="102"/>
      <c r="AO339" s="102"/>
      <c r="AP339" s="102"/>
      <c r="AQ339" s="102"/>
      <c r="AR339" s="102"/>
      <c r="AS339" s="102"/>
      <c r="AT339" s="102"/>
      <c r="AU339" s="102"/>
    </row>
    <row r="340" spans="1:47" s="78" customFormat="1" ht="12.6" customHeight="1" x14ac:dyDescent="0.3">
      <c r="A340" s="102"/>
      <c r="V340" s="102"/>
      <c r="W340" s="102"/>
      <c r="X340" s="102"/>
      <c r="Y340" s="102"/>
      <c r="Z340" s="102"/>
      <c r="AA340" s="102"/>
      <c r="AB340" s="102"/>
      <c r="AC340" s="102"/>
      <c r="AD340" s="102"/>
      <c r="AE340" s="102"/>
      <c r="AF340" s="102"/>
      <c r="AG340" s="102"/>
      <c r="AH340" s="102"/>
      <c r="AI340" s="102"/>
      <c r="AJ340" s="102"/>
      <c r="AK340" s="102"/>
      <c r="AL340" s="102"/>
      <c r="AM340" s="102"/>
      <c r="AN340" s="102"/>
      <c r="AO340" s="102"/>
      <c r="AP340" s="102"/>
      <c r="AQ340" s="102"/>
      <c r="AR340" s="102"/>
      <c r="AS340" s="102"/>
      <c r="AT340" s="102"/>
      <c r="AU340" s="102"/>
    </row>
    <row r="341" spans="1:47" s="78" customFormat="1" ht="12.6" customHeight="1" x14ac:dyDescent="0.3">
      <c r="A341" s="102"/>
      <c r="V341" s="102"/>
      <c r="W341" s="102"/>
      <c r="X341" s="102"/>
      <c r="Y341" s="102"/>
      <c r="Z341" s="102"/>
      <c r="AA341" s="102"/>
      <c r="AB341" s="102"/>
      <c r="AC341" s="102"/>
      <c r="AD341" s="102"/>
      <c r="AE341" s="102"/>
      <c r="AF341" s="102"/>
      <c r="AG341" s="102"/>
      <c r="AH341" s="102"/>
      <c r="AI341" s="102"/>
      <c r="AJ341" s="102"/>
      <c r="AK341" s="102"/>
      <c r="AL341" s="102"/>
      <c r="AM341" s="102"/>
      <c r="AN341" s="102"/>
      <c r="AO341" s="102"/>
      <c r="AP341" s="102"/>
      <c r="AQ341" s="102"/>
      <c r="AR341" s="102"/>
      <c r="AS341" s="102"/>
      <c r="AT341" s="102"/>
      <c r="AU341" s="102"/>
    </row>
    <row r="342" spans="1:47" s="78" customFormat="1" ht="12.6" customHeight="1" x14ac:dyDescent="0.3">
      <c r="A342" s="102"/>
      <c r="V342" s="102"/>
      <c r="W342" s="102"/>
      <c r="X342" s="102"/>
      <c r="Y342" s="102"/>
      <c r="Z342" s="102"/>
      <c r="AA342" s="102"/>
      <c r="AB342" s="102"/>
      <c r="AC342" s="102"/>
      <c r="AD342" s="102"/>
      <c r="AE342" s="102"/>
      <c r="AF342" s="102"/>
      <c r="AG342" s="102"/>
      <c r="AH342" s="102"/>
      <c r="AI342" s="102"/>
      <c r="AJ342" s="102"/>
      <c r="AK342" s="102"/>
      <c r="AL342" s="102"/>
      <c r="AM342" s="102"/>
      <c r="AN342" s="102"/>
      <c r="AO342" s="102"/>
      <c r="AP342" s="102"/>
      <c r="AQ342" s="102"/>
      <c r="AR342" s="102"/>
      <c r="AS342" s="102"/>
      <c r="AT342" s="102"/>
      <c r="AU342" s="102"/>
    </row>
    <row r="343" spans="1:47" s="78" customFormat="1" ht="12.6" customHeight="1" x14ac:dyDescent="0.3">
      <c r="A343" s="102"/>
      <c r="V343" s="102"/>
      <c r="W343" s="102"/>
      <c r="X343" s="102"/>
      <c r="Y343" s="102"/>
      <c r="Z343" s="102"/>
      <c r="AA343" s="102"/>
      <c r="AB343" s="102"/>
      <c r="AC343" s="102"/>
      <c r="AD343" s="102"/>
      <c r="AE343" s="102"/>
      <c r="AF343" s="102"/>
      <c r="AG343" s="102"/>
      <c r="AH343" s="102"/>
      <c r="AI343" s="102"/>
      <c r="AJ343" s="102"/>
      <c r="AK343" s="102"/>
      <c r="AL343" s="102"/>
      <c r="AM343" s="102"/>
      <c r="AN343" s="102"/>
      <c r="AO343" s="102"/>
      <c r="AP343" s="102"/>
      <c r="AQ343" s="102"/>
      <c r="AR343" s="102"/>
      <c r="AS343" s="102"/>
      <c r="AT343" s="102"/>
      <c r="AU343" s="102"/>
    </row>
    <row r="344" spans="1:47" s="78" customFormat="1" ht="12.6" customHeight="1" x14ac:dyDescent="0.3">
      <c r="A344" s="102"/>
      <c r="V344" s="102"/>
      <c r="W344" s="102"/>
      <c r="X344" s="102"/>
      <c r="Y344" s="102"/>
      <c r="Z344" s="102"/>
      <c r="AA344" s="102"/>
      <c r="AB344" s="102"/>
      <c r="AC344" s="102"/>
      <c r="AD344" s="102"/>
      <c r="AE344" s="102"/>
      <c r="AF344" s="102"/>
      <c r="AG344" s="102"/>
      <c r="AH344" s="102"/>
      <c r="AI344" s="102"/>
      <c r="AJ344" s="102"/>
      <c r="AK344" s="102"/>
      <c r="AL344" s="102"/>
      <c r="AM344" s="102"/>
      <c r="AN344" s="102"/>
      <c r="AO344" s="102"/>
      <c r="AP344" s="102"/>
      <c r="AQ344" s="102"/>
      <c r="AR344" s="102"/>
      <c r="AS344" s="102"/>
      <c r="AT344" s="102"/>
      <c r="AU344" s="102"/>
    </row>
    <row r="345" spans="1:47" s="78" customFormat="1" ht="12.6" customHeight="1" x14ac:dyDescent="0.3">
      <c r="A345" s="102"/>
      <c r="V345" s="102"/>
      <c r="W345" s="102"/>
      <c r="X345" s="102"/>
      <c r="Y345" s="102"/>
      <c r="Z345" s="102"/>
      <c r="AA345" s="102"/>
      <c r="AB345" s="102"/>
      <c r="AC345" s="102"/>
      <c r="AD345" s="102"/>
      <c r="AE345" s="102"/>
      <c r="AF345" s="102"/>
      <c r="AG345" s="102"/>
      <c r="AH345" s="102"/>
      <c r="AI345" s="102"/>
      <c r="AJ345" s="102"/>
      <c r="AK345" s="102"/>
      <c r="AL345" s="102"/>
      <c r="AM345" s="102"/>
      <c r="AN345" s="102"/>
      <c r="AO345" s="102"/>
      <c r="AP345" s="102"/>
      <c r="AQ345" s="102"/>
      <c r="AR345" s="102"/>
      <c r="AS345" s="102"/>
      <c r="AT345" s="102"/>
      <c r="AU345" s="102"/>
    </row>
    <row r="346" spans="1:47" s="78" customFormat="1" ht="12.6" customHeight="1" x14ac:dyDescent="0.3">
      <c r="A346" s="102"/>
      <c r="V346" s="102"/>
      <c r="W346" s="102"/>
      <c r="X346" s="102"/>
      <c r="Y346" s="102"/>
      <c r="Z346" s="102"/>
      <c r="AA346" s="102"/>
      <c r="AB346" s="102"/>
      <c r="AC346" s="102"/>
      <c r="AD346" s="102"/>
      <c r="AE346" s="102"/>
      <c r="AF346" s="102"/>
      <c r="AG346" s="102"/>
      <c r="AH346" s="102"/>
      <c r="AI346" s="102"/>
      <c r="AJ346" s="102"/>
      <c r="AK346" s="102"/>
      <c r="AL346" s="102"/>
      <c r="AM346" s="102"/>
      <c r="AN346" s="102"/>
      <c r="AO346" s="102"/>
      <c r="AP346" s="102"/>
      <c r="AQ346" s="102"/>
      <c r="AR346" s="102"/>
      <c r="AS346" s="102"/>
      <c r="AT346" s="102"/>
      <c r="AU346" s="102"/>
    </row>
    <row r="347" spans="1:47" s="78" customFormat="1" ht="12.6" customHeight="1" x14ac:dyDescent="0.3">
      <c r="A347" s="102"/>
      <c r="V347" s="102"/>
      <c r="W347" s="102"/>
      <c r="X347" s="102"/>
      <c r="Y347" s="102"/>
      <c r="Z347" s="102"/>
      <c r="AA347" s="102"/>
      <c r="AB347" s="102"/>
      <c r="AC347" s="102"/>
      <c r="AD347" s="102"/>
      <c r="AE347" s="102"/>
      <c r="AF347" s="102"/>
      <c r="AG347" s="102"/>
      <c r="AH347" s="102"/>
      <c r="AI347" s="102"/>
      <c r="AJ347" s="102"/>
      <c r="AK347" s="102"/>
      <c r="AL347" s="102"/>
      <c r="AM347" s="102"/>
      <c r="AN347" s="102"/>
      <c r="AO347" s="102"/>
      <c r="AP347" s="102"/>
      <c r="AQ347" s="102"/>
      <c r="AR347" s="102"/>
      <c r="AS347" s="102"/>
      <c r="AT347" s="102"/>
      <c r="AU347" s="102"/>
    </row>
    <row r="348" spans="1:47" s="78" customFormat="1" ht="12.6" customHeight="1" x14ac:dyDescent="0.3">
      <c r="A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row>
    <row r="349" spans="1:47" s="78" customFormat="1" ht="12.6" customHeight="1" x14ac:dyDescent="0.3">
      <c r="A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row>
    <row r="350" spans="1:47" s="78" customFormat="1" ht="12.6" customHeight="1" x14ac:dyDescent="0.3">
      <c r="A350" s="102"/>
      <c r="V350" s="102"/>
      <c r="W350" s="102"/>
      <c r="X350" s="102"/>
      <c r="Y350" s="102"/>
      <c r="Z350" s="102"/>
      <c r="AA350" s="102"/>
      <c r="AB350" s="102"/>
      <c r="AC350" s="102"/>
      <c r="AD350" s="102"/>
      <c r="AE350" s="102"/>
      <c r="AF350" s="102"/>
      <c r="AG350" s="102"/>
      <c r="AH350" s="102"/>
      <c r="AI350" s="102"/>
      <c r="AJ350" s="102"/>
      <c r="AK350" s="102"/>
      <c r="AL350" s="102"/>
      <c r="AM350" s="102"/>
      <c r="AN350" s="102"/>
      <c r="AO350" s="102"/>
      <c r="AP350" s="102"/>
      <c r="AQ350" s="102"/>
      <c r="AR350" s="102"/>
      <c r="AS350" s="102"/>
      <c r="AT350" s="102"/>
      <c r="AU350" s="102"/>
    </row>
    <row r="351" spans="1:47" s="78" customFormat="1" ht="12.6" customHeight="1" x14ac:dyDescent="0.3">
      <c r="A351" s="102"/>
      <c r="V351" s="102"/>
      <c r="W351" s="102"/>
      <c r="X351" s="102"/>
      <c r="Y351" s="102"/>
      <c r="Z351" s="102"/>
      <c r="AA351" s="102"/>
      <c r="AB351" s="102"/>
      <c r="AC351" s="102"/>
      <c r="AD351" s="102"/>
      <c r="AE351" s="102"/>
      <c r="AF351" s="102"/>
      <c r="AG351" s="102"/>
      <c r="AH351" s="102"/>
      <c r="AI351" s="102"/>
      <c r="AJ351" s="102"/>
      <c r="AK351" s="102"/>
      <c r="AL351" s="102"/>
      <c r="AM351" s="102"/>
      <c r="AN351" s="102"/>
      <c r="AO351" s="102"/>
      <c r="AP351" s="102"/>
      <c r="AQ351" s="102"/>
      <c r="AR351" s="102"/>
      <c r="AS351" s="102"/>
      <c r="AT351" s="102"/>
      <c r="AU351" s="102"/>
    </row>
    <row r="352" spans="1:47" s="78" customFormat="1" ht="12.6" customHeight="1" x14ac:dyDescent="0.3">
      <c r="A352" s="102"/>
      <c r="V352" s="102"/>
      <c r="W352" s="102"/>
      <c r="X352" s="102"/>
      <c r="Y352" s="102"/>
      <c r="Z352" s="102"/>
      <c r="AA352" s="102"/>
      <c r="AB352" s="102"/>
      <c r="AC352" s="102"/>
      <c r="AD352" s="102"/>
      <c r="AE352" s="102"/>
      <c r="AF352" s="102"/>
      <c r="AG352" s="102"/>
      <c r="AH352" s="102"/>
      <c r="AI352" s="102"/>
      <c r="AJ352" s="102"/>
      <c r="AK352" s="102"/>
      <c r="AL352" s="102"/>
      <c r="AM352" s="102"/>
      <c r="AN352" s="102"/>
      <c r="AO352" s="102"/>
      <c r="AP352" s="102"/>
      <c r="AQ352" s="102"/>
      <c r="AR352" s="102"/>
      <c r="AS352" s="102"/>
      <c r="AT352" s="102"/>
      <c r="AU352" s="102"/>
    </row>
    <row r="353" spans="1:47" s="78" customFormat="1" ht="12.6" customHeight="1" x14ac:dyDescent="0.3">
      <c r="A353" s="102"/>
      <c r="V353" s="102"/>
      <c r="W353" s="102"/>
      <c r="X353" s="102"/>
      <c r="Y353" s="102"/>
      <c r="Z353" s="102"/>
      <c r="AA353" s="102"/>
      <c r="AB353" s="102"/>
      <c r="AC353" s="102"/>
      <c r="AD353" s="102"/>
      <c r="AE353" s="102"/>
      <c r="AF353" s="102"/>
      <c r="AG353" s="102"/>
      <c r="AH353" s="102"/>
      <c r="AI353" s="102"/>
      <c r="AJ353" s="102"/>
      <c r="AK353" s="102"/>
      <c r="AL353" s="102"/>
      <c r="AM353" s="102"/>
      <c r="AN353" s="102"/>
      <c r="AO353" s="102"/>
      <c r="AP353" s="102"/>
      <c r="AQ353" s="102"/>
      <c r="AR353" s="102"/>
      <c r="AS353" s="102"/>
      <c r="AT353" s="102"/>
      <c r="AU353" s="102"/>
    </row>
    <row r="354" spans="1:47" s="78" customFormat="1" ht="12.6" customHeight="1" x14ac:dyDescent="0.3">
      <c r="A354" s="102"/>
      <c r="V354" s="102"/>
      <c r="W354" s="102"/>
      <c r="X354" s="102"/>
      <c r="Y354" s="102"/>
      <c r="Z354" s="102"/>
      <c r="AA354" s="102"/>
      <c r="AB354" s="102"/>
      <c r="AC354" s="102"/>
      <c r="AD354" s="102"/>
      <c r="AE354" s="102"/>
      <c r="AF354" s="102"/>
      <c r="AG354" s="102"/>
      <c r="AH354" s="102"/>
      <c r="AI354" s="102"/>
      <c r="AJ354" s="102"/>
      <c r="AK354" s="102"/>
      <c r="AL354" s="102"/>
      <c r="AM354" s="102"/>
      <c r="AN354" s="102"/>
      <c r="AO354" s="102"/>
      <c r="AP354" s="102"/>
      <c r="AQ354" s="102"/>
      <c r="AR354" s="102"/>
      <c r="AS354" s="102"/>
      <c r="AT354" s="102"/>
      <c r="AU354" s="102"/>
    </row>
    <row r="355" spans="1:47" s="78" customFormat="1" ht="12.6" customHeight="1" x14ac:dyDescent="0.3">
      <c r="A355" s="102"/>
      <c r="V355" s="102"/>
      <c r="W355" s="102"/>
      <c r="X355" s="102"/>
      <c r="Y355" s="102"/>
      <c r="Z355" s="102"/>
      <c r="AA355" s="102"/>
      <c r="AB355" s="102"/>
      <c r="AC355" s="102"/>
      <c r="AD355" s="102"/>
      <c r="AE355" s="102"/>
      <c r="AF355" s="102"/>
      <c r="AG355" s="102"/>
      <c r="AH355" s="102"/>
      <c r="AI355" s="102"/>
      <c r="AJ355" s="102"/>
      <c r="AK355" s="102"/>
      <c r="AL355" s="102"/>
      <c r="AM355" s="102"/>
      <c r="AN355" s="102"/>
      <c r="AO355" s="102"/>
      <c r="AP355" s="102"/>
      <c r="AQ355" s="102"/>
      <c r="AR355" s="102"/>
      <c r="AS355" s="102"/>
      <c r="AT355" s="102"/>
      <c r="AU355" s="102"/>
    </row>
    <row r="356" spans="1:47" s="78" customFormat="1" ht="12.6" customHeight="1" x14ac:dyDescent="0.3">
      <c r="A356" s="102"/>
      <c r="V356" s="102"/>
      <c r="W356" s="102"/>
      <c r="X356" s="102"/>
      <c r="Y356" s="102"/>
      <c r="Z356" s="102"/>
      <c r="AA356" s="102"/>
      <c r="AB356" s="102"/>
      <c r="AC356" s="102"/>
      <c r="AD356" s="102"/>
      <c r="AE356" s="102"/>
      <c r="AF356" s="102"/>
      <c r="AG356" s="102"/>
      <c r="AH356" s="102"/>
      <c r="AI356" s="102"/>
      <c r="AJ356" s="102"/>
      <c r="AK356" s="102"/>
      <c r="AL356" s="102"/>
      <c r="AM356" s="102"/>
      <c r="AN356" s="102"/>
      <c r="AO356" s="102"/>
      <c r="AP356" s="102"/>
      <c r="AQ356" s="102"/>
      <c r="AR356" s="102"/>
      <c r="AS356" s="102"/>
      <c r="AT356" s="102"/>
      <c r="AU356" s="102"/>
    </row>
    <row r="357" spans="1:47" s="78" customFormat="1" ht="12.6" customHeight="1" x14ac:dyDescent="0.3">
      <c r="A357" s="102"/>
      <c r="V357" s="102"/>
      <c r="W357" s="102"/>
      <c r="X357" s="102"/>
      <c r="Y357" s="102"/>
      <c r="Z357" s="102"/>
      <c r="AA357" s="102"/>
      <c r="AB357" s="102"/>
      <c r="AC357" s="102"/>
      <c r="AD357" s="102"/>
      <c r="AE357" s="102"/>
      <c r="AF357" s="102"/>
      <c r="AG357" s="102"/>
      <c r="AH357" s="102"/>
      <c r="AI357" s="102"/>
      <c r="AJ357" s="102"/>
      <c r="AK357" s="102"/>
      <c r="AL357" s="102"/>
      <c r="AM357" s="102"/>
      <c r="AN357" s="102"/>
      <c r="AO357" s="102"/>
      <c r="AP357" s="102"/>
      <c r="AQ357" s="102"/>
      <c r="AR357" s="102"/>
      <c r="AS357" s="102"/>
      <c r="AT357" s="102"/>
      <c r="AU357" s="102"/>
    </row>
    <row r="358" spans="1:47" s="78" customFormat="1" ht="12.6" customHeight="1" x14ac:dyDescent="0.3">
      <c r="A358" s="102"/>
      <c r="V358" s="102"/>
      <c r="W358" s="102"/>
      <c r="X358" s="102"/>
      <c r="Y358" s="102"/>
      <c r="Z358" s="102"/>
      <c r="AA358" s="102"/>
      <c r="AB358" s="102"/>
      <c r="AC358" s="102"/>
      <c r="AD358" s="102"/>
      <c r="AE358" s="102"/>
      <c r="AF358" s="102"/>
      <c r="AG358" s="102"/>
      <c r="AH358" s="102"/>
      <c r="AI358" s="102"/>
      <c r="AJ358" s="102"/>
      <c r="AK358" s="102"/>
      <c r="AL358" s="102"/>
      <c r="AM358" s="102"/>
      <c r="AN358" s="102"/>
      <c r="AO358" s="102"/>
      <c r="AP358" s="102"/>
      <c r="AQ358" s="102"/>
      <c r="AR358" s="102"/>
      <c r="AS358" s="102"/>
      <c r="AT358" s="102"/>
      <c r="AU358" s="102"/>
    </row>
    <row r="359" spans="1:47" s="78" customFormat="1" ht="12.6" customHeight="1" x14ac:dyDescent="0.3">
      <c r="A359" s="102"/>
      <c r="V359" s="102"/>
      <c r="W359" s="102"/>
      <c r="X359" s="102"/>
      <c r="Y359" s="102"/>
      <c r="Z359" s="102"/>
      <c r="AA359" s="102"/>
      <c r="AB359" s="102"/>
      <c r="AC359" s="102"/>
      <c r="AD359" s="102"/>
      <c r="AE359" s="102"/>
      <c r="AF359" s="102"/>
      <c r="AG359" s="102"/>
      <c r="AH359" s="102"/>
      <c r="AI359" s="102"/>
      <c r="AJ359" s="102"/>
      <c r="AK359" s="102"/>
      <c r="AL359" s="102"/>
      <c r="AM359" s="102"/>
      <c r="AN359" s="102"/>
      <c r="AO359" s="102"/>
      <c r="AP359" s="102"/>
      <c r="AQ359" s="102"/>
      <c r="AR359" s="102"/>
      <c r="AS359" s="102"/>
      <c r="AT359" s="102"/>
      <c r="AU359" s="102"/>
    </row>
    <row r="360" spans="1:47" s="78" customFormat="1" ht="12.6" customHeight="1" x14ac:dyDescent="0.3">
      <c r="A360" s="102"/>
      <c r="V360" s="102"/>
      <c r="W360" s="102"/>
      <c r="X360" s="102"/>
      <c r="Y360" s="102"/>
      <c r="Z360" s="102"/>
      <c r="AA360" s="102"/>
      <c r="AB360" s="102"/>
      <c r="AC360" s="102"/>
      <c r="AD360" s="102"/>
      <c r="AE360" s="102"/>
      <c r="AF360" s="102"/>
      <c r="AG360" s="102"/>
      <c r="AH360" s="102"/>
      <c r="AI360" s="102"/>
      <c r="AJ360" s="102"/>
      <c r="AK360" s="102"/>
      <c r="AL360" s="102"/>
      <c r="AM360" s="102"/>
      <c r="AN360" s="102"/>
      <c r="AO360" s="102"/>
      <c r="AP360" s="102"/>
      <c r="AQ360" s="102"/>
      <c r="AR360" s="102"/>
      <c r="AS360" s="102"/>
      <c r="AT360" s="102"/>
      <c r="AU360" s="102"/>
    </row>
    <row r="361" spans="1:47" s="78" customFormat="1" ht="12.6" customHeight="1" x14ac:dyDescent="0.3">
      <c r="A361" s="102"/>
      <c r="V361" s="102"/>
      <c r="W361" s="102"/>
      <c r="X361" s="102"/>
      <c r="Y361" s="102"/>
      <c r="Z361" s="102"/>
      <c r="AA361" s="102"/>
      <c r="AB361" s="102"/>
      <c r="AC361" s="102"/>
      <c r="AD361" s="102"/>
      <c r="AE361" s="102"/>
      <c r="AF361" s="102"/>
      <c r="AG361" s="102"/>
      <c r="AH361" s="102"/>
      <c r="AI361" s="102"/>
      <c r="AJ361" s="102"/>
      <c r="AK361" s="102"/>
      <c r="AL361" s="102"/>
      <c r="AM361" s="102"/>
      <c r="AN361" s="102"/>
      <c r="AO361" s="102"/>
      <c r="AP361" s="102"/>
      <c r="AQ361" s="102"/>
      <c r="AR361" s="102"/>
      <c r="AS361" s="102"/>
      <c r="AT361" s="102"/>
      <c r="AU361" s="102"/>
    </row>
    <row r="362" spans="1:47" s="78" customFormat="1" ht="12.6" customHeight="1" x14ac:dyDescent="0.3">
      <c r="A362" s="102"/>
      <c r="V362" s="102"/>
      <c r="W362" s="102"/>
      <c r="X362" s="102"/>
      <c r="Y362" s="102"/>
      <c r="Z362" s="102"/>
      <c r="AA362" s="102"/>
      <c r="AB362" s="102"/>
      <c r="AC362" s="102"/>
      <c r="AD362" s="102"/>
      <c r="AE362" s="102"/>
      <c r="AF362" s="102"/>
      <c r="AG362" s="102"/>
      <c r="AH362" s="102"/>
      <c r="AI362" s="102"/>
      <c r="AJ362" s="102"/>
      <c r="AK362" s="102"/>
      <c r="AL362" s="102"/>
      <c r="AM362" s="102"/>
      <c r="AN362" s="102"/>
      <c r="AO362" s="102"/>
      <c r="AP362" s="102"/>
      <c r="AQ362" s="102"/>
      <c r="AR362" s="102"/>
      <c r="AS362" s="102"/>
      <c r="AT362" s="102"/>
      <c r="AU362" s="102"/>
    </row>
    <row r="363" spans="1:47" s="78" customFormat="1" ht="12.6" customHeight="1" x14ac:dyDescent="0.3">
      <c r="A363" s="102"/>
      <c r="V363" s="102"/>
      <c r="W363" s="102"/>
      <c r="X363" s="102"/>
      <c r="Y363" s="102"/>
      <c r="Z363" s="102"/>
      <c r="AA363" s="102"/>
      <c r="AB363" s="102"/>
      <c r="AC363" s="102"/>
      <c r="AD363" s="102"/>
      <c r="AE363" s="102"/>
      <c r="AF363" s="102"/>
      <c r="AG363" s="102"/>
      <c r="AH363" s="102"/>
      <c r="AI363" s="102"/>
      <c r="AJ363" s="102"/>
      <c r="AK363" s="102"/>
      <c r="AL363" s="102"/>
      <c r="AM363" s="102"/>
      <c r="AN363" s="102"/>
      <c r="AO363" s="102"/>
      <c r="AP363" s="102"/>
      <c r="AQ363" s="102"/>
      <c r="AR363" s="102"/>
      <c r="AS363" s="102"/>
      <c r="AT363" s="102"/>
      <c r="AU363" s="102"/>
    </row>
    <row r="364" spans="1:47" s="78" customFormat="1" ht="12.6" customHeight="1" x14ac:dyDescent="0.3">
      <c r="A364" s="102"/>
      <c r="V364" s="102"/>
      <c r="W364" s="102"/>
      <c r="X364" s="102"/>
      <c r="Y364" s="102"/>
      <c r="Z364" s="102"/>
      <c r="AA364" s="102"/>
      <c r="AB364" s="102"/>
      <c r="AC364" s="102"/>
      <c r="AD364" s="102"/>
      <c r="AE364" s="102"/>
      <c r="AF364" s="102"/>
      <c r="AG364" s="102"/>
      <c r="AH364" s="102"/>
      <c r="AI364" s="102"/>
      <c r="AJ364" s="102"/>
      <c r="AK364" s="102"/>
      <c r="AL364" s="102"/>
      <c r="AM364" s="102"/>
      <c r="AN364" s="102"/>
      <c r="AO364" s="102"/>
      <c r="AP364" s="102"/>
      <c r="AQ364" s="102"/>
      <c r="AR364" s="102"/>
      <c r="AS364" s="102"/>
      <c r="AT364" s="102"/>
      <c r="AU364" s="102"/>
    </row>
    <row r="365" spans="1:47" s="78" customFormat="1" ht="12.6" customHeight="1" x14ac:dyDescent="0.3">
      <c r="A365" s="102"/>
      <c r="V365" s="102"/>
      <c r="W365" s="102"/>
      <c r="X365" s="102"/>
      <c r="Y365" s="102"/>
      <c r="Z365" s="102"/>
      <c r="AA365" s="102"/>
      <c r="AB365" s="102"/>
      <c r="AC365" s="102"/>
      <c r="AD365" s="102"/>
      <c r="AE365" s="102"/>
      <c r="AF365" s="102"/>
      <c r="AG365" s="102"/>
      <c r="AH365" s="102"/>
      <c r="AI365" s="102"/>
      <c r="AJ365" s="102"/>
      <c r="AK365" s="102"/>
      <c r="AL365" s="102"/>
      <c r="AM365" s="102"/>
      <c r="AN365" s="102"/>
      <c r="AO365" s="102"/>
      <c r="AP365" s="102"/>
      <c r="AQ365" s="102"/>
      <c r="AR365" s="102"/>
      <c r="AS365" s="102"/>
      <c r="AT365" s="102"/>
      <c r="AU365" s="102"/>
    </row>
    <row r="366" spans="1:47" s="78" customFormat="1" ht="12.6" customHeight="1" x14ac:dyDescent="0.3">
      <c r="A366" s="102"/>
      <c r="V366" s="102"/>
      <c r="W366" s="102"/>
      <c r="X366" s="102"/>
      <c r="Y366" s="102"/>
      <c r="Z366" s="102"/>
      <c r="AA366" s="102"/>
      <c r="AB366" s="102"/>
      <c r="AC366" s="102"/>
      <c r="AD366" s="102"/>
      <c r="AE366" s="102"/>
      <c r="AF366" s="102"/>
      <c r="AG366" s="102"/>
      <c r="AH366" s="102"/>
      <c r="AI366" s="102"/>
      <c r="AJ366" s="102"/>
      <c r="AK366" s="102"/>
      <c r="AL366" s="102"/>
      <c r="AM366" s="102"/>
      <c r="AN366" s="102"/>
      <c r="AO366" s="102"/>
      <c r="AP366" s="102"/>
      <c r="AQ366" s="102"/>
      <c r="AR366" s="102"/>
      <c r="AS366" s="102"/>
      <c r="AT366" s="102"/>
      <c r="AU366" s="102"/>
    </row>
    <row r="367" spans="1:47" s="78" customFormat="1" ht="12.6" customHeight="1" x14ac:dyDescent="0.3">
      <c r="A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row>
    <row r="368" spans="1:47" s="78" customFormat="1" ht="12.6" customHeight="1" x14ac:dyDescent="0.3">
      <c r="A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row>
    <row r="369" spans="1:47" s="78" customFormat="1" ht="12.6" customHeight="1" x14ac:dyDescent="0.3">
      <c r="A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row>
    <row r="370" spans="1:47" s="78" customFormat="1" ht="12.6" customHeight="1" x14ac:dyDescent="0.3">
      <c r="A370" s="102"/>
      <c r="V370" s="102"/>
      <c r="W370" s="102"/>
      <c r="X370" s="102"/>
      <c r="Y370" s="102"/>
      <c r="Z370" s="102"/>
      <c r="AA370" s="102"/>
      <c r="AB370" s="102"/>
      <c r="AC370" s="102"/>
      <c r="AD370" s="102"/>
      <c r="AE370" s="102"/>
      <c r="AF370" s="102"/>
      <c r="AG370" s="102"/>
      <c r="AH370" s="102"/>
      <c r="AI370" s="102"/>
      <c r="AJ370" s="102"/>
      <c r="AK370" s="102"/>
      <c r="AL370" s="102"/>
      <c r="AM370" s="102"/>
      <c r="AN370" s="102"/>
      <c r="AO370" s="102"/>
      <c r="AP370" s="102"/>
      <c r="AQ370" s="102"/>
      <c r="AR370" s="102"/>
      <c r="AS370" s="102"/>
      <c r="AT370" s="102"/>
      <c r="AU370" s="102"/>
    </row>
    <row r="371" spans="1:47" s="78" customFormat="1" ht="12.6" customHeight="1" x14ac:dyDescent="0.3">
      <c r="A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row>
    <row r="372" spans="1:47" s="78" customFormat="1" ht="12.6" customHeight="1" x14ac:dyDescent="0.3">
      <c r="A372" s="102"/>
      <c r="V372" s="102"/>
      <c r="W372" s="102"/>
      <c r="X372" s="102"/>
      <c r="Y372" s="102"/>
      <c r="Z372" s="102"/>
      <c r="AA372" s="102"/>
      <c r="AB372" s="102"/>
      <c r="AC372" s="102"/>
      <c r="AD372" s="102"/>
      <c r="AE372" s="102"/>
      <c r="AF372" s="102"/>
      <c r="AG372" s="102"/>
      <c r="AH372" s="102"/>
      <c r="AI372" s="102"/>
      <c r="AJ372" s="102"/>
      <c r="AK372" s="102"/>
      <c r="AL372" s="102"/>
      <c r="AM372" s="102"/>
      <c r="AN372" s="102"/>
      <c r="AO372" s="102"/>
      <c r="AP372" s="102"/>
      <c r="AQ372" s="102"/>
      <c r="AR372" s="102"/>
      <c r="AS372" s="102"/>
      <c r="AT372" s="102"/>
      <c r="AU372" s="102"/>
    </row>
    <row r="373" spans="1:47" s="78" customFormat="1" ht="12.6" customHeight="1" x14ac:dyDescent="0.3">
      <c r="A373" s="102"/>
      <c r="V373" s="102"/>
      <c r="W373" s="102"/>
      <c r="X373" s="102"/>
      <c r="Y373" s="102"/>
      <c r="Z373" s="102"/>
      <c r="AA373" s="102"/>
      <c r="AB373" s="102"/>
      <c r="AC373" s="102"/>
      <c r="AD373" s="102"/>
      <c r="AE373" s="102"/>
      <c r="AF373" s="102"/>
      <c r="AG373" s="102"/>
      <c r="AH373" s="102"/>
      <c r="AI373" s="102"/>
      <c r="AJ373" s="102"/>
      <c r="AK373" s="102"/>
      <c r="AL373" s="102"/>
      <c r="AM373" s="102"/>
      <c r="AN373" s="102"/>
      <c r="AO373" s="102"/>
      <c r="AP373" s="102"/>
      <c r="AQ373" s="102"/>
      <c r="AR373" s="102"/>
      <c r="AS373" s="102"/>
      <c r="AT373" s="102"/>
      <c r="AU373" s="102"/>
    </row>
    <row r="374" spans="1:47" s="78" customFormat="1" ht="12.6" customHeight="1" x14ac:dyDescent="0.3">
      <c r="A374" s="102"/>
      <c r="V374" s="102"/>
      <c r="W374" s="102"/>
      <c r="X374" s="102"/>
      <c r="Y374" s="102"/>
      <c r="Z374" s="102"/>
      <c r="AA374" s="102"/>
      <c r="AB374" s="102"/>
      <c r="AC374" s="102"/>
      <c r="AD374" s="102"/>
      <c r="AE374" s="102"/>
      <c r="AF374" s="102"/>
      <c r="AG374" s="102"/>
      <c r="AH374" s="102"/>
      <c r="AI374" s="102"/>
      <c r="AJ374" s="102"/>
      <c r="AK374" s="102"/>
      <c r="AL374" s="102"/>
      <c r="AM374" s="102"/>
      <c r="AN374" s="102"/>
      <c r="AO374" s="102"/>
      <c r="AP374" s="102"/>
      <c r="AQ374" s="102"/>
      <c r="AR374" s="102"/>
      <c r="AS374" s="102"/>
      <c r="AT374" s="102"/>
      <c r="AU374" s="102"/>
    </row>
    <row r="375" spans="1:47" s="78" customFormat="1" ht="12.6" customHeight="1" x14ac:dyDescent="0.3">
      <c r="A375" s="102"/>
      <c r="V375" s="102"/>
      <c r="W375" s="102"/>
      <c r="X375" s="102"/>
      <c r="Y375" s="102"/>
      <c r="Z375" s="102"/>
      <c r="AA375" s="102"/>
      <c r="AB375" s="102"/>
      <c r="AC375" s="102"/>
      <c r="AD375" s="102"/>
      <c r="AE375" s="102"/>
      <c r="AF375" s="102"/>
      <c r="AG375" s="102"/>
      <c r="AH375" s="102"/>
      <c r="AI375" s="102"/>
      <c r="AJ375" s="102"/>
      <c r="AK375" s="102"/>
      <c r="AL375" s="102"/>
      <c r="AM375" s="102"/>
      <c r="AN375" s="102"/>
      <c r="AO375" s="102"/>
      <c r="AP375" s="102"/>
      <c r="AQ375" s="102"/>
      <c r="AR375" s="102"/>
      <c r="AS375" s="102"/>
      <c r="AT375" s="102"/>
      <c r="AU375" s="102"/>
    </row>
    <row r="376" spans="1:47" s="78" customFormat="1" ht="12.6" customHeight="1" x14ac:dyDescent="0.3">
      <c r="A376" s="102"/>
      <c r="V376" s="102"/>
      <c r="W376" s="102"/>
      <c r="X376" s="102"/>
      <c r="Y376" s="102"/>
      <c r="Z376" s="102"/>
      <c r="AA376" s="102"/>
      <c r="AB376" s="102"/>
      <c r="AC376" s="102"/>
      <c r="AD376" s="102"/>
      <c r="AE376" s="102"/>
      <c r="AF376" s="102"/>
      <c r="AG376" s="102"/>
      <c r="AH376" s="102"/>
      <c r="AI376" s="102"/>
      <c r="AJ376" s="102"/>
      <c r="AK376" s="102"/>
      <c r="AL376" s="102"/>
      <c r="AM376" s="102"/>
      <c r="AN376" s="102"/>
      <c r="AO376" s="102"/>
      <c r="AP376" s="102"/>
      <c r="AQ376" s="102"/>
      <c r="AR376" s="102"/>
      <c r="AS376" s="102"/>
      <c r="AT376" s="102"/>
      <c r="AU376" s="102"/>
    </row>
    <row r="377" spans="1:47" s="78" customFormat="1" ht="12.6" customHeight="1" x14ac:dyDescent="0.3">
      <c r="A377" s="102"/>
      <c r="V377" s="102"/>
      <c r="W377" s="102"/>
      <c r="X377" s="102"/>
      <c r="Y377" s="102"/>
      <c r="Z377" s="102"/>
      <c r="AA377" s="102"/>
      <c r="AB377" s="102"/>
      <c r="AC377" s="102"/>
      <c r="AD377" s="102"/>
      <c r="AE377" s="102"/>
      <c r="AF377" s="102"/>
      <c r="AG377" s="102"/>
      <c r="AH377" s="102"/>
      <c r="AI377" s="102"/>
      <c r="AJ377" s="102"/>
      <c r="AK377" s="102"/>
      <c r="AL377" s="102"/>
      <c r="AM377" s="102"/>
      <c r="AN377" s="102"/>
      <c r="AO377" s="102"/>
      <c r="AP377" s="102"/>
      <c r="AQ377" s="102"/>
      <c r="AR377" s="102"/>
      <c r="AS377" s="102"/>
      <c r="AT377" s="102"/>
      <c r="AU377" s="102"/>
    </row>
    <row r="378" spans="1:47" s="78" customFormat="1" ht="12.6" customHeight="1" x14ac:dyDescent="0.3">
      <c r="A378" s="102"/>
      <c r="V378" s="102"/>
      <c r="W378" s="102"/>
      <c r="X378" s="102"/>
      <c r="Y378" s="102"/>
      <c r="Z378" s="102"/>
      <c r="AA378" s="102"/>
      <c r="AB378" s="102"/>
      <c r="AC378" s="102"/>
      <c r="AD378" s="102"/>
      <c r="AE378" s="102"/>
      <c r="AF378" s="102"/>
      <c r="AG378" s="102"/>
      <c r="AH378" s="102"/>
      <c r="AI378" s="102"/>
      <c r="AJ378" s="102"/>
      <c r="AK378" s="102"/>
      <c r="AL378" s="102"/>
      <c r="AM378" s="102"/>
      <c r="AN378" s="102"/>
      <c r="AO378" s="102"/>
      <c r="AP378" s="102"/>
      <c r="AQ378" s="102"/>
      <c r="AR378" s="102"/>
      <c r="AS378" s="102"/>
      <c r="AT378" s="102"/>
      <c r="AU378" s="102"/>
    </row>
    <row r="379" spans="1:47" s="78" customFormat="1" ht="12.6" customHeight="1" x14ac:dyDescent="0.3">
      <c r="A379" s="102"/>
      <c r="V379" s="102"/>
      <c r="W379" s="102"/>
      <c r="X379" s="102"/>
      <c r="Y379" s="102"/>
      <c r="Z379" s="102"/>
      <c r="AA379" s="102"/>
      <c r="AB379" s="102"/>
      <c r="AC379" s="102"/>
      <c r="AD379" s="102"/>
      <c r="AE379" s="102"/>
      <c r="AF379" s="102"/>
      <c r="AG379" s="102"/>
      <c r="AH379" s="102"/>
      <c r="AI379" s="102"/>
      <c r="AJ379" s="102"/>
      <c r="AK379" s="102"/>
      <c r="AL379" s="102"/>
      <c r="AM379" s="102"/>
      <c r="AN379" s="102"/>
      <c r="AO379" s="102"/>
      <c r="AP379" s="102"/>
      <c r="AQ379" s="102"/>
      <c r="AR379" s="102"/>
      <c r="AS379" s="102"/>
      <c r="AT379" s="102"/>
      <c r="AU379" s="102"/>
    </row>
    <row r="380" spans="1:47" s="78" customFormat="1" ht="12.6" customHeight="1" x14ac:dyDescent="0.3">
      <c r="A380" s="102"/>
      <c r="V380" s="102"/>
      <c r="W380" s="102"/>
      <c r="X380" s="102"/>
      <c r="Y380" s="102"/>
      <c r="Z380" s="102"/>
      <c r="AA380" s="102"/>
      <c r="AB380" s="102"/>
      <c r="AC380" s="102"/>
      <c r="AD380" s="102"/>
      <c r="AE380" s="102"/>
      <c r="AF380" s="102"/>
      <c r="AG380" s="102"/>
      <c r="AH380" s="102"/>
      <c r="AI380" s="102"/>
      <c r="AJ380" s="102"/>
      <c r="AK380" s="102"/>
      <c r="AL380" s="102"/>
      <c r="AM380" s="102"/>
      <c r="AN380" s="102"/>
      <c r="AO380" s="102"/>
      <c r="AP380" s="102"/>
      <c r="AQ380" s="102"/>
      <c r="AR380" s="102"/>
      <c r="AS380" s="102"/>
      <c r="AT380" s="102"/>
      <c r="AU380" s="102"/>
    </row>
    <row r="381" spans="1:47" s="78" customFormat="1" ht="12.6" customHeight="1" x14ac:dyDescent="0.3">
      <c r="A381" s="102"/>
      <c r="V381" s="102"/>
      <c r="W381" s="102"/>
      <c r="X381" s="102"/>
      <c r="Y381" s="102"/>
      <c r="Z381" s="102"/>
      <c r="AA381" s="102"/>
      <c r="AB381" s="102"/>
      <c r="AC381" s="102"/>
      <c r="AD381" s="102"/>
      <c r="AE381" s="102"/>
      <c r="AF381" s="102"/>
      <c r="AG381" s="102"/>
      <c r="AH381" s="102"/>
      <c r="AI381" s="102"/>
      <c r="AJ381" s="102"/>
      <c r="AK381" s="102"/>
      <c r="AL381" s="102"/>
      <c r="AM381" s="102"/>
      <c r="AN381" s="102"/>
      <c r="AO381" s="102"/>
      <c r="AP381" s="102"/>
      <c r="AQ381" s="102"/>
      <c r="AR381" s="102"/>
      <c r="AS381" s="102"/>
      <c r="AT381" s="102"/>
      <c r="AU381" s="102"/>
    </row>
    <row r="382" spans="1:47" s="78" customFormat="1" ht="12.6" customHeight="1" x14ac:dyDescent="0.3">
      <c r="A382" s="102"/>
      <c r="V382" s="102"/>
      <c r="W382" s="102"/>
      <c r="X382" s="102"/>
      <c r="Y382" s="102"/>
      <c r="Z382" s="102"/>
      <c r="AA382" s="102"/>
      <c r="AB382" s="102"/>
      <c r="AC382" s="102"/>
      <c r="AD382" s="102"/>
      <c r="AE382" s="102"/>
      <c r="AF382" s="102"/>
      <c r="AG382" s="102"/>
      <c r="AH382" s="102"/>
      <c r="AI382" s="102"/>
      <c r="AJ382" s="102"/>
      <c r="AK382" s="102"/>
      <c r="AL382" s="102"/>
      <c r="AM382" s="102"/>
      <c r="AN382" s="102"/>
      <c r="AO382" s="102"/>
      <c r="AP382" s="102"/>
      <c r="AQ382" s="102"/>
      <c r="AR382" s="102"/>
      <c r="AS382" s="102"/>
      <c r="AT382" s="102"/>
      <c r="AU382" s="102"/>
    </row>
    <row r="383" spans="1:47" s="78" customFormat="1" ht="12.6" customHeight="1" x14ac:dyDescent="0.3">
      <c r="A383" s="102"/>
      <c r="V383" s="102"/>
      <c r="W383" s="102"/>
      <c r="X383" s="102"/>
      <c r="Y383" s="102"/>
      <c r="Z383" s="102"/>
      <c r="AA383" s="102"/>
      <c r="AB383" s="102"/>
      <c r="AC383" s="102"/>
      <c r="AD383" s="102"/>
      <c r="AE383" s="102"/>
      <c r="AF383" s="102"/>
      <c r="AG383" s="102"/>
      <c r="AH383" s="102"/>
      <c r="AI383" s="102"/>
      <c r="AJ383" s="102"/>
      <c r="AK383" s="102"/>
      <c r="AL383" s="102"/>
      <c r="AM383" s="102"/>
      <c r="AN383" s="102"/>
      <c r="AO383" s="102"/>
      <c r="AP383" s="102"/>
      <c r="AQ383" s="102"/>
      <c r="AR383" s="102"/>
      <c r="AS383" s="102"/>
      <c r="AT383" s="102"/>
      <c r="AU383" s="102"/>
    </row>
    <row r="384" spans="1:47" s="78" customFormat="1" ht="12.6" customHeight="1" x14ac:dyDescent="0.3">
      <c r="A384" s="102"/>
      <c r="V384" s="102"/>
      <c r="W384" s="102"/>
      <c r="X384" s="102"/>
      <c r="Y384" s="102"/>
      <c r="Z384" s="102"/>
      <c r="AA384" s="102"/>
      <c r="AB384" s="102"/>
      <c r="AC384" s="102"/>
      <c r="AD384" s="102"/>
      <c r="AE384" s="102"/>
      <c r="AF384" s="102"/>
      <c r="AG384" s="102"/>
      <c r="AH384" s="102"/>
      <c r="AI384" s="102"/>
      <c r="AJ384" s="102"/>
      <c r="AK384" s="102"/>
      <c r="AL384" s="102"/>
      <c r="AM384" s="102"/>
      <c r="AN384" s="102"/>
      <c r="AO384" s="102"/>
      <c r="AP384" s="102"/>
      <c r="AQ384" s="102"/>
      <c r="AR384" s="102"/>
      <c r="AS384" s="102"/>
      <c r="AT384" s="102"/>
      <c r="AU384" s="102"/>
    </row>
    <row r="385" spans="1:47" s="78" customFormat="1" ht="12.6" customHeight="1" x14ac:dyDescent="0.3">
      <c r="A385" s="102"/>
      <c r="V385" s="102"/>
      <c r="W385" s="102"/>
      <c r="X385" s="102"/>
      <c r="Y385" s="102"/>
      <c r="Z385" s="102"/>
      <c r="AA385" s="102"/>
      <c r="AB385" s="102"/>
      <c r="AC385" s="102"/>
      <c r="AD385" s="102"/>
      <c r="AE385" s="102"/>
      <c r="AF385" s="102"/>
      <c r="AG385" s="102"/>
      <c r="AH385" s="102"/>
      <c r="AI385" s="102"/>
      <c r="AJ385" s="102"/>
      <c r="AK385" s="102"/>
      <c r="AL385" s="102"/>
      <c r="AM385" s="102"/>
      <c r="AN385" s="102"/>
      <c r="AO385" s="102"/>
      <c r="AP385" s="102"/>
      <c r="AQ385" s="102"/>
      <c r="AR385" s="102"/>
      <c r="AS385" s="102"/>
      <c r="AT385" s="102"/>
      <c r="AU385" s="102"/>
    </row>
    <row r="386" spans="1:47" s="78" customFormat="1" ht="12.6" customHeight="1" x14ac:dyDescent="0.3">
      <c r="A386" s="102"/>
      <c r="V386" s="102"/>
      <c r="W386" s="102"/>
      <c r="X386" s="102"/>
      <c r="Y386" s="102"/>
      <c r="Z386" s="102"/>
      <c r="AA386" s="102"/>
      <c r="AB386" s="102"/>
      <c r="AC386" s="102"/>
      <c r="AD386" s="102"/>
      <c r="AE386" s="102"/>
      <c r="AF386" s="102"/>
      <c r="AG386" s="102"/>
      <c r="AH386" s="102"/>
      <c r="AI386" s="102"/>
      <c r="AJ386" s="102"/>
      <c r="AK386" s="102"/>
      <c r="AL386" s="102"/>
      <c r="AM386" s="102"/>
      <c r="AN386" s="102"/>
      <c r="AO386" s="102"/>
      <c r="AP386" s="102"/>
      <c r="AQ386" s="102"/>
      <c r="AR386" s="102"/>
      <c r="AS386" s="102"/>
      <c r="AT386" s="102"/>
      <c r="AU386" s="102"/>
    </row>
    <row r="387" spans="1:47" s="78" customFormat="1" ht="12.6" customHeight="1" x14ac:dyDescent="0.3">
      <c r="A387" s="102"/>
      <c r="V387" s="102"/>
      <c r="W387" s="102"/>
      <c r="X387" s="102"/>
      <c r="Y387" s="102"/>
      <c r="Z387" s="102"/>
      <c r="AA387" s="102"/>
      <c r="AB387" s="102"/>
      <c r="AC387" s="102"/>
      <c r="AD387" s="102"/>
      <c r="AE387" s="102"/>
      <c r="AF387" s="102"/>
      <c r="AG387" s="102"/>
      <c r="AH387" s="102"/>
      <c r="AI387" s="102"/>
      <c r="AJ387" s="102"/>
      <c r="AK387" s="102"/>
      <c r="AL387" s="102"/>
      <c r="AM387" s="102"/>
      <c r="AN387" s="102"/>
      <c r="AO387" s="102"/>
      <c r="AP387" s="102"/>
      <c r="AQ387" s="102"/>
      <c r="AR387" s="102"/>
      <c r="AS387" s="102"/>
      <c r="AT387" s="102"/>
      <c r="AU387" s="102"/>
    </row>
    <row r="388" spans="1:47" s="78" customFormat="1" ht="12.6" customHeight="1" x14ac:dyDescent="0.3">
      <c r="A388" s="102"/>
      <c r="V388" s="102"/>
      <c r="W388" s="102"/>
      <c r="X388" s="102"/>
      <c r="Y388" s="102"/>
      <c r="Z388" s="102"/>
      <c r="AA388" s="102"/>
      <c r="AB388" s="102"/>
      <c r="AC388" s="102"/>
      <c r="AD388" s="102"/>
      <c r="AE388" s="102"/>
      <c r="AF388" s="102"/>
      <c r="AG388" s="102"/>
      <c r="AH388" s="102"/>
      <c r="AI388" s="102"/>
      <c r="AJ388" s="102"/>
      <c r="AK388" s="102"/>
      <c r="AL388" s="102"/>
      <c r="AM388" s="102"/>
      <c r="AN388" s="102"/>
      <c r="AO388" s="102"/>
      <c r="AP388" s="102"/>
      <c r="AQ388" s="102"/>
      <c r="AR388" s="102"/>
      <c r="AS388" s="102"/>
      <c r="AT388" s="102"/>
      <c r="AU388" s="102"/>
    </row>
    <row r="389" spans="1:47" s="78" customFormat="1" ht="12.6" customHeight="1" x14ac:dyDescent="0.3">
      <c r="A389" s="102"/>
      <c r="V389" s="102"/>
      <c r="W389" s="102"/>
      <c r="X389" s="102"/>
      <c r="Y389" s="102"/>
      <c r="Z389" s="102"/>
      <c r="AA389" s="102"/>
      <c r="AB389" s="102"/>
      <c r="AC389" s="102"/>
      <c r="AD389" s="102"/>
      <c r="AE389" s="102"/>
      <c r="AF389" s="102"/>
      <c r="AG389" s="102"/>
      <c r="AH389" s="102"/>
      <c r="AI389" s="102"/>
      <c r="AJ389" s="102"/>
      <c r="AK389" s="102"/>
      <c r="AL389" s="102"/>
      <c r="AM389" s="102"/>
      <c r="AN389" s="102"/>
      <c r="AO389" s="102"/>
      <c r="AP389" s="102"/>
      <c r="AQ389" s="102"/>
      <c r="AR389" s="102"/>
      <c r="AS389" s="102"/>
      <c r="AT389" s="102"/>
      <c r="AU389" s="102"/>
    </row>
    <row r="390" spans="1:47" s="78" customFormat="1" ht="12.6" customHeight="1" x14ac:dyDescent="0.3">
      <c r="A390" s="102"/>
      <c r="V390" s="102"/>
      <c r="W390" s="102"/>
      <c r="X390" s="102"/>
      <c r="Y390" s="102"/>
      <c r="Z390" s="102"/>
      <c r="AA390" s="102"/>
      <c r="AB390" s="102"/>
      <c r="AC390" s="102"/>
      <c r="AD390" s="102"/>
      <c r="AE390" s="102"/>
      <c r="AF390" s="102"/>
      <c r="AG390" s="102"/>
      <c r="AH390" s="102"/>
      <c r="AI390" s="102"/>
      <c r="AJ390" s="102"/>
      <c r="AK390" s="102"/>
      <c r="AL390" s="102"/>
      <c r="AM390" s="102"/>
      <c r="AN390" s="102"/>
      <c r="AO390" s="102"/>
      <c r="AP390" s="102"/>
      <c r="AQ390" s="102"/>
      <c r="AR390" s="102"/>
      <c r="AS390" s="102"/>
      <c r="AT390" s="102"/>
      <c r="AU390" s="102"/>
    </row>
    <row r="391" spans="1:47" s="78" customFormat="1" ht="12.6" customHeight="1" x14ac:dyDescent="0.3">
      <c r="A391" s="102"/>
      <c r="V391" s="102"/>
      <c r="W391" s="102"/>
      <c r="X391" s="102"/>
      <c r="Y391" s="102"/>
      <c r="Z391" s="102"/>
      <c r="AA391" s="102"/>
      <c r="AB391" s="102"/>
      <c r="AC391" s="102"/>
      <c r="AD391" s="102"/>
      <c r="AE391" s="102"/>
      <c r="AF391" s="102"/>
      <c r="AG391" s="102"/>
      <c r="AH391" s="102"/>
      <c r="AI391" s="102"/>
      <c r="AJ391" s="102"/>
      <c r="AK391" s="102"/>
      <c r="AL391" s="102"/>
      <c r="AM391" s="102"/>
      <c r="AN391" s="102"/>
      <c r="AO391" s="102"/>
      <c r="AP391" s="102"/>
      <c r="AQ391" s="102"/>
      <c r="AR391" s="102"/>
      <c r="AS391" s="102"/>
      <c r="AT391" s="102"/>
      <c r="AU391" s="102"/>
    </row>
    <row r="392" spans="1:47" s="78" customFormat="1" ht="12.6" customHeight="1" x14ac:dyDescent="0.3">
      <c r="A392" s="102"/>
      <c r="V392" s="102"/>
      <c r="W392" s="102"/>
      <c r="X392" s="102"/>
      <c r="Y392" s="102"/>
      <c r="Z392" s="102"/>
      <c r="AA392" s="102"/>
      <c r="AB392" s="102"/>
      <c r="AC392" s="102"/>
      <c r="AD392" s="102"/>
      <c r="AE392" s="102"/>
      <c r="AF392" s="102"/>
      <c r="AG392" s="102"/>
      <c r="AH392" s="102"/>
      <c r="AI392" s="102"/>
      <c r="AJ392" s="102"/>
      <c r="AK392" s="102"/>
      <c r="AL392" s="102"/>
      <c r="AM392" s="102"/>
      <c r="AN392" s="102"/>
      <c r="AO392" s="102"/>
      <c r="AP392" s="102"/>
      <c r="AQ392" s="102"/>
      <c r="AR392" s="102"/>
      <c r="AS392" s="102"/>
      <c r="AT392" s="102"/>
      <c r="AU392" s="102"/>
    </row>
    <row r="393" spans="1:47" s="78" customFormat="1" ht="12.6" customHeight="1" x14ac:dyDescent="0.3">
      <c r="A393" s="102"/>
      <c r="V393" s="102"/>
      <c r="W393" s="102"/>
      <c r="X393" s="102"/>
      <c r="Y393" s="102"/>
      <c r="Z393" s="102"/>
      <c r="AA393" s="102"/>
      <c r="AB393" s="102"/>
      <c r="AC393" s="102"/>
      <c r="AD393" s="102"/>
      <c r="AE393" s="102"/>
      <c r="AF393" s="102"/>
      <c r="AG393" s="102"/>
      <c r="AH393" s="102"/>
      <c r="AI393" s="102"/>
      <c r="AJ393" s="102"/>
      <c r="AK393" s="102"/>
      <c r="AL393" s="102"/>
      <c r="AM393" s="102"/>
      <c r="AN393" s="102"/>
      <c r="AO393" s="102"/>
      <c r="AP393" s="102"/>
      <c r="AQ393" s="102"/>
      <c r="AR393" s="102"/>
      <c r="AS393" s="102"/>
      <c r="AT393" s="102"/>
      <c r="AU393" s="102"/>
    </row>
    <row r="394" spans="1:47" s="78" customFormat="1" ht="12.6" customHeight="1" x14ac:dyDescent="0.3">
      <c r="A394" s="102"/>
      <c r="V394" s="102"/>
      <c r="W394" s="102"/>
      <c r="X394" s="102"/>
      <c r="Y394" s="102"/>
      <c r="Z394" s="102"/>
      <c r="AA394" s="102"/>
      <c r="AB394" s="102"/>
      <c r="AC394" s="102"/>
      <c r="AD394" s="102"/>
      <c r="AE394" s="102"/>
      <c r="AF394" s="102"/>
      <c r="AG394" s="102"/>
      <c r="AH394" s="102"/>
      <c r="AI394" s="102"/>
      <c r="AJ394" s="102"/>
      <c r="AK394" s="102"/>
      <c r="AL394" s="102"/>
      <c r="AM394" s="102"/>
      <c r="AN394" s="102"/>
      <c r="AO394" s="102"/>
      <c r="AP394" s="102"/>
      <c r="AQ394" s="102"/>
      <c r="AR394" s="102"/>
      <c r="AS394" s="102"/>
      <c r="AT394" s="102"/>
      <c r="AU394" s="102"/>
    </row>
    <row r="395" spans="1:47" s="78" customFormat="1" ht="12.6" customHeight="1" x14ac:dyDescent="0.3">
      <c r="A395" s="102"/>
      <c r="V395" s="102"/>
      <c r="W395" s="102"/>
      <c r="X395" s="102"/>
      <c r="Y395" s="102"/>
      <c r="Z395" s="102"/>
      <c r="AA395" s="102"/>
      <c r="AB395" s="102"/>
      <c r="AC395" s="102"/>
      <c r="AD395" s="102"/>
      <c r="AE395" s="102"/>
      <c r="AF395" s="102"/>
      <c r="AG395" s="102"/>
      <c r="AH395" s="102"/>
      <c r="AI395" s="102"/>
      <c r="AJ395" s="102"/>
      <c r="AK395" s="102"/>
      <c r="AL395" s="102"/>
      <c r="AM395" s="102"/>
      <c r="AN395" s="102"/>
      <c r="AO395" s="102"/>
      <c r="AP395" s="102"/>
      <c r="AQ395" s="102"/>
      <c r="AR395" s="102"/>
      <c r="AS395" s="102"/>
      <c r="AT395" s="102"/>
      <c r="AU395" s="102"/>
    </row>
    <row r="396" spans="1:47" s="78" customFormat="1" ht="12.6" customHeight="1" x14ac:dyDescent="0.3">
      <c r="A396" s="102"/>
      <c r="V396" s="102"/>
      <c r="W396" s="102"/>
      <c r="X396" s="102"/>
      <c r="Y396" s="102"/>
      <c r="Z396" s="102"/>
      <c r="AA396" s="102"/>
      <c r="AB396" s="102"/>
      <c r="AC396" s="102"/>
      <c r="AD396" s="102"/>
      <c r="AE396" s="102"/>
      <c r="AF396" s="102"/>
      <c r="AG396" s="102"/>
      <c r="AH396" s="102"/>
      <c r="AI396" s="102"/>
      <c r="AJ396" s="102"/>
      <c r="AK396" s="102"/>
      <c r="AL396" s="102"/>
      <c r="AM396" s="102"/>
      <c r="AN396" s="102"/>
      <c r="AO396" s="102"/>
      <c r="AP396" s="102"/>
      <c r="AQ396" s="102"/>
      <c r="AR396" s="102"/>
      <c r="AS396" s="102"/>
      <c r="AT396" s="102"/>
      <c r="AU396" s="102"/>
    </row>
    <row r="397" spans="1:47" s="78" customFormat="1" ht="12.6" customHeight="1" x14ac:dyDescent="0.3">
      <c r="A397" s="102"/>
      <c r="V397" s="102"/>
      <c r="W397" s="102"/>
      <c r="X397" s="102"/>
      <c r="Y397" s="102"/>
      <c r="Z397" s="102"/>
      <c r="AA397" s="102"/>
      <c r="AB397" s="102"/>
      <c r="AC397" s="102"/>
      <c r="AD397" s="102"/>
      <c r="AE397" s="102"/>
      <c r="AF397" s="102"/>
      <c r="AG397" s="102"/>
      <c r="AH397" s="102"/>
      <c r="AI397" s="102"/>
      <c r="AJ397" s="102"/>
      <c r="AK397" s="102"/>
      <c r="AL397" s="102"/>
      <c r="AM397" s="102"/>
      <c r="AN397" s="102"/>
      <c r="AO397" s="102"/>
      <c r="AP397" s="102"/>
      <c r="AQ397" s="102"/>
      <c r="AR397" s="102"/>
      <c r="AS397" s="102"/>
      <c r="AT397" s="102"/>
      <c r="AU397" s="102"/>
    </row>
    <row r="398" spans="1:47" s="78" customFormat="1" ht="12.6" customHeight="1" x14ac:dyDescent="0.3">
      <c r="A398" s="102"/>
      <c r="V398" s="102"/>
      <c r="W398" s="102"/>
      <c r="X398" s="102"/>
      <c r="Y398" s="102"/>
      <c r="Z398" s="102"/>
      <c r="AA398" s="102"/>
      <c r="AB398" s="102"/>
      <c r="AC398" s="102"/>
      <c r="AD398" s="102"/>
      <c r="AE398" s="102"/>
      <c r="AF398" s="102"/>
      <c r="AG398" s="102"/>
      <c r="AH398" s="102"/>
      <c r="AI398" s="102"/>
      <c r="AJ398" s="102"/>
      <c r="AK398" s="102"/>
      <c r="AL398" s="102"/>
      <c r="AM398" s="102"/>
      <c r="AN398" s="102"/>
      <c r="AO398" s="102"/>
      <c r="AP398" s="102"/>
      <c r="AQ398" s="102"/>
      <c r="AR398" s="102"/>
      <c r="AS398" s="102"/>
      <c r="AT398" s="102"/>
      <c r="AU398" s="102"/>
    </row>
    <row r="399" spans="1:47" s="78" customFormat="1" ht="12.6" customHeight="1" x14ac:dyDescent="0.3">
      <c r="A399" s="102"/>
      <c r="V399" s="102"/>
      <c r="W399" s="102"/>
      <c r="X399" s="102"/>
      <c r="Y399" s="102"/>
      <c r="Z399" s="102"/>
      <c r="AA399" s="102"/>
      <c r="AB399" s="102"/>
      <c r="AC399" s="102"/>
      <c r="AD399" s="102"/>
      <c r="AE399" s="102"/>
      <c r="AF399" s="102"/>
      <c r="AG399" s="102"/>
      <c r="AH399" s="102"/>
      <c r="AI399" s="102"/>
      <c r="AJ399" s="102"/>
      <c r="AK399" s="102"/>
      <c r="AL399" s="102"/>
      <c r="AM399" s="102"/>
      <c r="AN399" s="102"/>
      <c r="AO399" s="102"/>
      <c r="AP399" s="102"/>
      <c r="AQ399" s="102"/>
      <c r="AR399" s="102"/>
      <c r="AS399" s="102"/>
      <c r="AT399" s="102"/>
      <c r="AU399" s="102"/>
    </row>
    <row r="400" spans="1:47" s="78" customFormat="1" ht="12.6" customHeight="1" x14ac:dyDescent="0.3">
      <c r="A400" s="102"/>
      <c r="V400" s="102"/>
      <c r="W400" s="102"/>
      <c r="X400" s="102"/>
      <c r="Y400" s="102"/>
      <c r="Z400" s="102"/>
      <c r="AA400" s="102"/>
      <c r="AB400" s="102"/>
      <c r="AC400" s="102"/>
      <c r="AD400" s="102"/>
      <c r="AE400" s="102"/>
      <c r="AF400" s="102"/>
      <c r="AG400" s="102"/>
      <c r="AH400" s="102"/>
      <c r="AI400" s="102"/>
      <c r="AJ400" s="102"/>
      <c r="AK400" s="102"/>
      <c r="AL400" s="102"/>
      <c r="AM400" s="102"/>
      <c r="AN400" s="102"/>
      <c r="AO400" s="102"/>
      <c r="AP400" s="102"/>
      <c r="AQ400" s="102"/>
      <c r="AR400" s="102"/>
      <c r="AS400" s="102"/>
      <c r="AT400" s="102"/>
      <c r="AU400" s="102"/>
    </row>
    <row r="401" spans="1:47" s="78" customFormat="1" ht="12.6" customHeight="1" x14ac:dyDescent="0.3">
      <c r="A401" s="102"/>
      <c r="V401" s="102"/>
      <c r="W401" s="102"/>
      <c r="X401" s="102"/>
      <c r="Y401" s="102"/>
      <c r="Z401" s="102"/>
      <c r="AA401" s="102"/>
      <c r="AB401" s="102"/>
      <c r="AC401" s="102"/>
      <c r="AD401" s="102"/>
      <c r="AE401" s="102"/>
      <c r="AF401" s="102"/>
      <c r="AG401" s="102"/>
      <c r="AH401" s="102"/>
      <c r="AI401" s="102"/>
      <c r="AJ401" s="102"/>
      <c r="AK401" s="102"/>
      <c r="AL401" s="102"/>
      <c r="AM401" s="102"/>
      <c r="AN401" s="102"/>
      <c r="AO401" s="102"/>
      <c r="AP401" s="102"/>
      <c r="AQ401" s="102"/>
      <c r="AR401" s="102"/>
      <c r="AS401" s="102"/>
      <c r="AT401" s="102"/>
      <c r="AU401" s="102"/>
    </row>
    <row r="402" spans="1:47" s="78" customFormat="1" ht="12.6" customHeight="1" x14ac:dyDescent="0.3">
      <c r="A402" s="102"/>
      <c r="V402" s="102"/>
      <c r="W402" s="102"/>
      <c r="X402" s="102"/>
      <c r="Y402" s="102"/>
      <c r="Z402" s="102"/>
      <c r="AA402" s="102"/>
      <c r="AB402" s="102"/>
      <c r="AC402" s="102"/>
      <c r="AD402" s="102"/>
      <c r="AE402" s="102"/>
      <c r="AF402" s="102"/>
      <c r="AG402" s="102"/>
      <c r="AH402" s="102"/>
      <c r="AI402" s="102"/>
      <c r="AJ402" s="102"/>
      <c r="AK402" s="102"/>
      <c r="AL402" s="102"/>
      <c r="AM402" s="102"/>
      <c r="AN402" s="102"/>
      <c r="AO402" s="102"/>
      <c r="AP402" s="102"/>
      <c r="AQ402" s="102"/>
      <c r="AR402" s="102"/>
      <c r="AS402" s="102"/>
      <c r="AT402" s="102"/>
      <c r="AU402" s="102"/>
    </row>
    <row r="403" spans="1:47" s="78" customFormat="1" ht="12.6" customHeight="1" x14ac:dyDescent="0.3">
      <c r="A403" s="102"/>
      <c r="V403" s="102"/>
      <c r="W403" s="102"/>
      <c r="X403" s="102"/>
      <c r="Y403" s="102"/>
      <c r="Z403" s="102"/>
      <c r="AA403" s="102"/>
      <c r="AB403" s="102"/>
      <c r="AC403" s="102"/>
      <c r="AD403" s="102"/>
      <c r="AE403" s="102"/>
      <c r="AF403" s="102"/>
      <c r="AG403" s="102"/>
      <c r="AH403" s="102"/>
      <c r="AI403" s="102"/>
      <c r="AJ403" s="102"/>
      <c r="AK403" s="102"/>
      <c r="AL403" s="102"/>
      <c r="AM403" s="102"/>
      <c r="AN403" s="102"/>
      <c r="AO403" s="102"/>
      <c r="AP403" s="102"/>
      <c r="AQ403" s="102"/>
      <c r="AR403" s="102"/>
      <c r="AS403" s="102"/>
      <c r="AT403" s="102"/>
      <c r="AU403" s="102"/>
    </row>
    <row r="404" spans="1:47" s="78" customFormat="1" ht="12.6" customHeight="1" x14ac:dyDescent="0.3">
      <c r="A404" s="102"/>
      <c r="V404" s="102"/>
      <c r="W404" s="102"/>
      <c r="X404" s="102"/>
      <c r="Y404" s="102"/>
      <c r="Z404" s="102"/>
      <c r="AA404" s="102"/>
      <c r="AB404" s="102"/>
      <c r="AC404" s="102"/>
      <c r="AD404" s="102"/>
      <c r="AE404" s="102"/>
      <c r="AF404" s="102"/>
      <c r="AG404" s="102"/>
      <c r="AH404" s="102"/>
      <c r="AI404" s="102"/>
      <c r="AJ404" s="102"/>
      <c r="AK404" s="102"/>
      <c r="AL404" s="102"/>
      <c r="AM404" s="102"/>
      <c r="AN404" s="102"/>
      <c r="AO404" s="102"/>
      <c r="AP404" s="102"/>
      <c r="AQ404" s="102"/>
      <c r="AR404" s="102"/>
      <c r="AS404" s="102"/>
      <c r="AT404" s="102"/>
      <c r="AU404" s="102"/>
    </row>
    <row r="405" spans="1:47" s="78" customFormat="1" ht="12.6" customHeight="1" x14ac:dyDescent="0.3">
      <c r="A405" s="102"/>
      <c r="V405" s="102"/>
      <c r="W405" s="102"/>
      <c r="X405" s="102"/>
      <c r="Y405" s="102"/>
      <c r="Z405" s="102"/>
      <c r="AA405" s="102"/>
      <c r="AB405" s="102"/>
      <c r="AC405" s="102"/>
      <c r="AD405" s="102"/>
      <c r="AE405" s="102"/>
      <c r="AF405" s="102"/>
      <c r="AG405" s="102"/>
      <c r="AH405" s="102"/>
      <c r="AI405" s="102"/>
      <c r="AJ405" s="102"/>
      <c r="AK405" s="102"/>
      <c r="AL405" s="102"/>
      <c r="AM405" s="102"/>
      <c r="AN405" s="102"/>
      <c r="AO405" s="102"/>
      <c r="AP405" s="102"/>
      <c r="AQ405" s="102"/>
      <c r="AR405" s="102"/>
      <c r="AS405" s="102"/>
      <c r="AT405" s="102"/>
      <c r="AU405" s="102"/>
    </row>
    <row r="406" spans="1:47" s="78" customFormat="1" ht="12.6" customHeight="1" x14ac:dyDescent="0.3">
      <c r="A406" s="102"/>
      <c r="V406" s="102"/>
      <c r="W406" s="102"/>
      <c r="X406" s="102"/>
      <c r="Y406" s="102"/>
      <c r="Z406" s="102"/>
      <c r="AA406" s="102"/>
      <c r="AB406" s="102"/>
      <c r="AC406" s="102"/>
      <c r="AD406" s="102"/>
      <c r="AE406" s="102"/>
      <c r="AF406" s="102"/>
      <c r="AG406" s="102"/>
      <c r="AH406" s="102"/>
      <c r="AI406" s="102"/>
      <c r="AJ406" s="102"/>
      <c r="AK406" s="102"/>
      <c r="AL406" s="102"/>
      <c r="AM406" s="102"/>
      <c r="AN406" s="102"/>
      <c r="AO406" s="102"/>
      <c r="AP406" s="102"/>
      <c r="AQ406" s="102"/>
      <c r="AR406" s="102"/>
      <c r="AS406" s="102"/>
      <c r="AT406" s="102"/>
      <c r="AU406" s="102"/>
    </row>
    <row r="407" spans="1:47" s="78" customFormat="1" ht="12.6" customHeight="1" x14ac:dyDescent="0.3">
      <c r="A407" s="102"/>
      <c r="V407" s="102"/>
      <c r="W407" s="102"/>
      <c r="X407" s="102"/>
      <c r="Y407" s="102"/>
      <c r="Z407" s="102"/>
      <c r="AA407" s="102"/>
      <c r="AB407" s="102"/>
      <c r="AC407" s="102"/>
      <c r="AD407" s="102"/>
      <c r="AE407" s="102"/>
      <c r="AF407" s="102"/>
      <c r="AG407" s="102"/>
      <c r="AH407" s="102"/>
      <c r="AI407" s="102"/>
      <c r="AJ407" s="102"/>
      <c r="AK407" s="102"/>
      <c r="AL407" s="102"/>
      <c r="AM407" s="102"/>
      <c r="AN407" s="102"/>
      <c r="AO407" s="102"/>
      <c r="AP407" s="102"/>
      <c r="AQ407" s="102"/>
      <c r="AR407" s="102"/>
      <c r="AS407" s="102"/>
      <c r="AT407" s="102"/>
      <c r="AU407" s="102"/>
    </row>
    <row r="408" spans="1:47" s="78" customFormat="1" ht="12.6" customHeight="1" x14ac:dyDescent="0.3">
      <c r="A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row>
    <row r="409" spans="1:47" s="78" customFormat="1" ht="12.6" customHeight="1" x14ac:dyDescent="0.3">
      <c r="A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row>
    <row r="410" spans="1:47" s="78" customFormat="1" ht="12.6" customHeight="1" x14ac:dyDescent="0.3">
      <c r="A410" s="102"/>
      <c r="V410" s="102"/>
      <c r="W410" s="102"/>
      <c r="X410" s="102"/>
      <c r="Y410" s="102"/>
      <c r="Z410" s="102"/>
      <c r="AA410" s="102"/>
      <c r="AB410" s="102"/>
      <c r="AC410" s="102"/>
      <c r="AD410" s="102"/>
      <c r="AE410" s="102"/>
      <c r="AF410" s="102"/>
      <c r="AG410" s="102"/>
      <c r="AH410" s="102"/>
      <c r="AI410" s="102"/>
      <c r="AJ410" s="102"/>
      <c r="AK410" s="102"/>
      <c r="AL410" s="102"/>
      <c r="AM410" s="102"/>
      <c r="AN410" s="102"/>
      <c r="AO410" s="102"/>
      <c r="AP410" s="102"/>
      <c r="AQ410" s="102"/>
      <c r="AR410" s="102"/>
      <c r="AS410" s="102"/>
      <c r="AT410" s="102"/>
      <c r="AU410" s="102"/>
    </row>
    <row r="411" spans="1:47" s="78" customFormat="1" ht="12.6" customHeight="1" x14ac:dyDescent="0.3">
      <c r="A411" s="102"/>
      <c r="V411" s="102"/>
      <c r="W411" s="102"/>
      <c r="X411" s="102"/>
      <c r="Y411" s="102"/>
      <c r="Z411" s="102"/>
      <c r="AA411" s="102"/>
      <c r="AB411" s="102"/>
      <c r="AC411" s="102"/>
      <c r="AD411" s="102"/>
      <c r="AE411" s="102"/>
      <c r="AF411" s="102"/>
      <c r="AG411" s="102"/>
      <c r="AH411" s="102"/>
      <c r="AI411" s="102"/>
      <c r="AJ411" s="102"/>
      <c r="AK411" s="102"/>
      <c r="AL411" s="102"/>
      <c r="AM411" s="102"/>
      <c r="AN411" s="102"/>
      <c r="AO411" s="102"/>
      <c r="AP411" s="102"/>
      <c r="AQ411" s="102"/>
      <c r="AR411" s="102"/>
      <c r="AS411" s="102"/>
      <c r="AT411" s="102"/>
      <c r="AU411" s="102"/>
    </row>
    <row r="412" spans="1:47" s="78" customFormat="1" ht="12.6" customHeight="1" x14ac:dyDescent="0.3">
      <c r="A412" s="102"/>
      <c r="V412" s="102"/>
      <c r="W412" s="102"/>
      <c r="X412" s="102"/>
      <c r="Y412" s="102"/>
      <c r="Z412" s="102"/>
      <c r="AA412" s="102"/>
      <c r="AB412" s="102"/>
      <c r="AC412" s="102"/>
      <c r="AD412" s="102"/>
      <c r="AE412" s="102"/>
      <c r="AF412" s="102"/>
      <c r="AG412" s="102"/>
      <c r="AH412" s="102"/>
      <c r="AI412" s="102"/>
      <c r="AJ412" s="102"/>
      <c r="AK412" s="102"/>
      <c r="AL412" s="102"/>
      <c r="AM412" s="102"/>
      <c r="AN412" s="102"/>
      <c r="AO412" s="102"/>
      <c r="AP412" s="102"/>
      <c r="AQ412" s="102"/>
      <c r="AR412" s="102"/>
      <c r="AS412" s="102"/>
      <c r="AT412" s="102"/>
      <c r="AU412" s="102"/>
    </row>
    <row r="413" spans="1:47" s="78" customFormat="1" ht="12.6" customHeight="1" x14ac:dyDescent="0.3">
      <c r="A413" s="102"/>
      <c r="V413" s="102"/>
      <c r="W413" s="102"/>
      <c r="X413" s="102"/>
      <c r="Y413" s="102"/>
      <c r="Z413" s="102"/>
      <c r="AA413" s="102"/>
      <c r="AB413" s="102"/>
      <c r="AC413" s="102"/>
      <c r="AD413" s="102"/>
      <c r="AE413" s="102"/>
      <c r="AF413" s="102"/>
      <c r="AG413" s="102"/>
      <c r="AH413" s="102"/>
      <c r="AI413" s="102"/>
      <c r="AJ413" s="102"/>
      <c r="AK413" s="102"/>
      <c r="AL413" s="102"/>
      <c r="AM413" s="102"/>
      <c r="AN413" s="102"/>
      <c r="AO413" s="102"/>
      <c r="AP413" s="102"/>
      <c r="AQ413" s="102"/>
      <c r="AR413" s="102"/>
      <c r="AS413" s="102"/>
      <c r="AT413" s="102"/>
      <c r="AU413" s="102"/>
    </row>
    <row r="414" spans="1:47" s="78" customFormat="1" ht="12.6" customHeight="1" x14ac:dyDescent="0.3">
      <c r="A414" s="102"/>
      <c r="V414" s="102"/>
      <c r="W414" s="102"/>
      <c r="X414" s="102"/>
      <c r="Y414" s="102"/>
      <c r="Z414" s="102"/>
      <c r="AA414" s="102"/>
      <c r="AB414" s="102"/>
      <c r="AC414" s="102"/>
      <c r="AD414" s="102"/>
      <c r="AE414" s="102"/>
      <c r="AF414" s="102"/>
      <c r="AG414" s="102"/>
      <c r="AH414" s="102"/>
      <c r="AI414" s="102"/>
      <c r="AJ414" s="102"/>
      <c r="AK414" s="102"/>
      <c r="AL414" s="102"/>
      <c r="AM414" s="102"/>
      <c r="AN414" s="102"/>
      <c r="AO414" s="102"/>
      <c r="AP414" s="102"/>
      <c r="AQ414" s="102"/>
      <c r="AR414" s="102"/>
      <c r="AS414" s="102"/>
      <c r="AT414" s="102"/>
      <c r="AU414" s="102"/>
    </row>
    <row r="415" spans="1:47" s="78" customFormat="1" ht="12.6" customHeight="1" x14ac:dyDescent="0.3">
      <c r="A415" s="102"/>
      <c r="V415" s="102"/>
      <c r="W415" s="102"/>
      <c r="X415" s="102"/>
      <c r="Y415" s="102"/>
      <c r="Z415" s="102"/>
      <c r="AA415" s="102"/>
      <c r="AB415" s="102"/>
      <c r="AC415" s="102"/>
      <c r="AD415" s="102"/>
      <c r="AE415" s="102"/>
      <c r="AF415" s="102"/>
      <c r="AG415" s="102"/>
      <c r="AH415" s="102"/>
      <c r="AI415" s="102"/>
      <c r="AJ415" s="102"/>
      <c r="AK415" s="102"/>
      <c r="AL415" s="102"/>
      <c r="AM415" s="102"/>
      <c r="AN415" s="102"/>
      <c r="AO415" s="102"/>
      <c r="AP415" s="102"/>
      <c r="AQ415" s="102"/>
      <c r="AR415" s="102"/>
      <c r="AS415" s="102"/>
      <c r="AT415" s="102"/>
      <c r="AU415" s="102"/>
    </row>
    <row r="416" spans="1:47" s="78" customFormat="1" ht="12.6" customHeight="1" x14ac:dyDescent="0.3">
      <c r="A416" s="102"/>
      <c r="V416" s="102"/>
      <c r="W416" s="102"/>
      <c r="X416" s="102"/>
      <c r="Y416" s="102"/>
      <c r="Z416" s="102"/>
      <c r="AA416" s="102"/>
      <c r="AB416" s="102"/>
      <c r="AC416" s="102"/>
      <c r="AD416" s="102"/>
      <c r="AE416" s="102"/>
      <c r="AF416" s="102"/>
      <c r="AG416" s="102"/>
      <c r="AH416" s="102"/>
      <c r="AI416" s="102"/>
      <c r="AJ416" s="102"/>
      <c r="AK416" s="102"/>
      <c r="AL416" s="102"/>
      <c r="AM416" s="102"/>
      <c r="AN416" s="102"/>
      <c r="AO416" s="102"/>
      <c r="AP416" s="102"/>
      <c r="AQ416" s="102"/>
      <c r="AR416" s="102"/>
      <c r="AS416" s="102"/>
      <c r="AT416" s="102"/>
      <c r="AU416" s="102"/>
    </row>
    <row r="417" spans="1:47" s="78" customFormat="1" ht="12.6" customHeight="1" x14ac:dyDescent="0.3">
      <c r="A417" s="102"/>
      <c r="V417" s="102"/>
      <c r="W417" s="102"/>
      <c r="X417" s="102"/>
      <c r="Y417" s="102"/>
      <c r="Z417" s="102"/>
      <c r="AA417" s="102"/>
      <c r="AB417" s="102"/>
      <c r="AC417" s="102"/>
      <c r="AD417" s="102"/>
      <c r="AE417" s="102"/>
      <c r="AF417" s="102"/>
      <c r="AG417" s="102"/>
      <c r="AH417" s="102"/>
      <c r="AI417" s="102"/>
      <c r="AJ417" s="102"/>
      <c r="AK417" s="102"/>
      <c r="AL417" s="102"/>
      <c r="AM417" s="102"/>
      <c r="AN417" s="102"/>
      <c r="AO417" s="102"/>
      <c r="AP417" s="102"/>
      <c r="AQ417" s="102"/>
      <c r="AR417" s="102"/>
      <c r="AS417" s="102"/>
      <c r="AT417" s="102"/>
      <c r="AU417" s="102"/>
    </row>
    <row r="418" spans="1:47" s="78" customFormat="1" ht="12.6" customHeight="1" x14ac:dyDescent="0.3">
      <c r="A418" s="102"/>
      <c r="V418" s="102"/>
      <c r="W418" s="102"/>
      <c r="X418" s="102"/>
      <c r="Y418" s="102"/>
      <c r="Z418" s="102"/>
      <c r="AA418" s="102"/>
      <c r="AB418" s="102"/>
      <c r="AC418" s="102"/>
      <c r="AD418" s="102"/>
      <c r="AE418" s="102"/>
      <c r="AF418" s="102"/>
      <c r="AG418" s="102"/>
      <c r="AH418" s="102"/>
      <c r="AI418" s="102"/>
      <c r="AJ418" s="102"/>
      <c r="AK418" s="102"/>
      <c r="AL418" s="102"/>
      <c r="AM418" s="102"/>
      <c r="AN418" s="102"/>
      <c r="AO418" s="102"/>
      <c r="AP418" s="102"/>
      <c r="AQ418" s="102"/>
      <c r="AR418" s="102"/>
      <c r="AS418" s="102"/>
      <c r="AT418" s="102"/>
      <c r="AU418" s="102"/>
    </row>
    <row r="419" spans="1:47" s="78" customFormat="1" ht="12.6" customHeight="1" x14ac:dyDescent="0.3">
      <c r="A419" s="102"/>
      <c r="V419" s="102"/>
      <c r="W419" s="102"/>
      <c r="X419" s="102"/>
      <c r="Y419" s="102"/>
      <c r="Z419" s="102"/>
      <c r="AA419" s="102"/>
      <c r="AB419" s="102"/>
      <c r="AC419" s="102"/>
      <c r="AD419" s="102"/>
      <c r="AE419" s="102"/>
      <c r="AF419" s="102"/>
      <c r="AG419" s="102"/>
      <c r="AH419" s="102"/>
      <c r="AI419" s="102"/>
      <c r="AJ419" s="102"/>
      <c r="AK419" s="102"/>
      <c r="AL419" s="102"/>
      <c r="AM419" s="102"/>
      <c r="AN419" s="102"/>
      <c r="AO419" s="102"/>
      <c r="AP419" s="102"/>
      <c r="AQ419" s="102"/>
      <c r="AR419" s="102"/>
      <c r="AS419" s="102"/>
      <c r="AT419" s="102"/>
      <c r="AU419" s="102"/>
    </row>
    <row r="420" spans="1:47" s="78" customFormat="1" ht="12.6" customHeight="1" x14ac:dyDescent="0.3">
      <c r="A420" s="102"/>
      <c r="V420" s="102"/>
      <c r="W420" s="102"/>
      <c r="X420" s="102"/>
      <c r="Y420" s="102"/>
      <c r="Z420" s="102"/>
      <c r="AA420" s="102"/>
      <c r="AB420" s="102"/>
      <c r="AC420" s="102"/>
      <c r="AD420" s="102"/>
      <c r="AE420" s="102"/>
      <c r="AF420" s="102"/>
      <c r="AG420" s="102"/>
      <c r="AH420" s="102"/>
      <c r="AI420" s="102"/>
      <c r="AJ420" s="102"/>
      <c r="AK420" s="102"/>
      <c r="AL420" s="102"/>
      <c r="AM420" s="102"/>
      <c r="AN420" s="102"/>
      <c r="AO420" s="102"/>
      <c r="AP420" s="102"/>
      <c r="AQ420" s="102"/>
      <c r="AR420" s="102"/>
      <c r="AS420" s="102"/>
      <c r="AT420" s="102"/>
      <c r="AU420" s="102"/>
    </row>
    <row r="421" spans="1:47" s="78" customFormat="1" ht="12.6" customHeight="1" x14ac:dyDescent="0.3">
      <c r="A421" s="102"/>
      <c r="V421" s="102"/>
      <c r="W421" s="102"/>
      <c r="X421" s="102"/>
      <c r="Y421" s="102"/>
      <c r="Z421" s="102"/>
      <c r="AA421" s="102"/>
      <c r="AB421" s="102"/>
      <c r="AC421" s="102"/>
      <c r="AD421" s="102"/>
      <c r="AE421" s="102"/>
      <c r="AF421" s="102"/>
      <c r="AG421" s="102"/>
      <c r="AH421" s="102"/>
      <c r="AI421" s="102"/>
      <c r="AJ421" s="102"/>
      <c r="AK421" s="102"/>
      <c r="AL421" s="102"/>
      <c r="AM421" s="102"/>
      <c r="AN421" s="102"/>
      <c r="AO421" s="102"/>
      <c r="AP421" s="102"/>
      <c r="AQ421" s="102"/>
      <c r="AR421" s="102"/>
      <c r="AS421" s="102"/>
      <c r="AT421" s="102"/>
      <c r="AU421" s="102"/>
    </row>
    <row r="422" spans="1:47" s="78" customFormat="1" ht="12.6" customHeight="1" x14ac:dyDescent="0.3">
      <c r="A422" s="102"/>
      <c r="V422" s="102"/>
      <c r="W422" s="102"/>
      <c r="X422" s="102"/>
      <c r="Y422" s="102"/>
      <c r="Z422" s="102"/>
      <c r="AA422" s="102"/>
      <c r="AB422" s="102"/>
      <c r="AC422" s="102"/>
      <c r="AD422" s="102"/>
      <c r="AE422" s="102"/>
      <c r="AF422" s="102"/>
      <c r="AG422" s="102"/>
      <c r="AH422" s="102"/>
      <c r="AI422" s="102"/>
      <c r="AJ422" s="102"/>
      <c r="AK422" s="102"/>
      <c r="AL422" s="102"/>
      <c r="AM422" s="102"/>
      <c r="AN422" s="102"/>
      <c r="AO422" s="102"/>
      <c r="AP422" s="102"/>
      <c r="AQ422" s="102"/>
      <c r="AR422" s="102"/>
      <c r="AS422" s="102"/>
      <c r="AT422" s="102"/>
      <c r="AU422" s="102"/>
    </row>
    <row r="423" spans="1:47" s="78" customFormat="1" ht="12.6" customHeight="1" x14ac:dyDescent="0.3">
      <c r="A423" s="102"/>
      <c r="V423" s="102"/>
      <c r="W423" s="102"/>
      <c r="X423" s="102"/>
      <c r="Y423" s="102"/>
      <c r="Z423" s="102"/>
      <c r="AA423" s="102"/>
      <c r="AB423" s="102"/>
      <c r="AC423" s="102"/>
      <c r="AD423" s="102"/>
      <c r="AE423" s="102"/>
      <c r="AF423" s="102"/>
      <c r="AG423" s="102"/>
      <c r="AH423" s="102"/>
      <c r="AI423" s="102"/>
      <c r="AJ423" s="102"/>
      <c r="AK423" s="102"/>
      <c r="AL423" s="102"/>
      <c r="AM423" s="102"/>
      <c r="AN423" s="102"/>
      <c r="AO423" s="102"/>
      <c r="AP423" s="102"/>
      <c r="AQ423" s="102"/>
      <c r="AR423" s="102"/>
      <c r="AS423" s="102"/>
      <c r="AT423" s="102"/>
      <c r="AU423" s="102"/>
    </row>
    <row r="424" spans="1:47" s="78" customFormat="1" ht="12.6" customHeight="1" x14ac:dyDescent="0.3">
      <c r="A424" s="102"/>
      <c r="V424" s="102"/>
      <c r="W424" s="102"/>
      <c r="X424" s="102"/>
      <c r="Y424" s="102"/>
      <c r="Z424" s="102"/>
      <c r="AA424" s="102"/>
      <c r="AB424" s="102"/>
      <c r="AC424" s="102"/>
      <c r="AD424" s="102"/>
      <c r="AE424" s="102"/>
      <c r="AF424" s="102"/>
      <c r="AG424" s="102"/>
      <c r="AH424" s="102"/>
      <c r="AI424" s="102"/>
      <c r="AJ424" s="102"/>
      <c r="AK424" s="102"/>
      <c r="AL424" s="102"/>
      <c r="AM424" s="102"/>
      <c r="AN424" s="102"/>
      <c r="AO424" s="102"/>
      <c r="AP424" s="102"/>
      <c r="AQ424" s="102"/>
      <c r="AR424" s="102"/>
      <c r="AS424" s="102"/>
      <c r="AT424" s="102"/>
      <c r="AU424" s="102"/>
    </row>
    <row r="425" spans="1:47" s="78" customFormat="1" ht="12.6" customHeight="1" x14ac:dyDescent="0.3">
      <c r="A425" s="102"/>
      <c r="V425" s="102"/>
      <c r="W425" s="102"/>
      <c r="X425" s="102"/>
      <c r="Y425" s="102"/>
      <c r="Z425" s="102"/>
      <c r="AA425" s="102"/>
      <c r="AB425" s="102"/>
      <c r="AC425" s="102"/>
      <c r="AD425" s="102"/>
      <c r="AE425" s="102"/>
      <c r="AF425" s="102"/>
      <c r="AG425" s="102"/>
      <c r="AH425" s="102"/>
      <c r="AI425" s="102"/>
      <c r="AJ425" s="102"/>
      <c r="AK425" s="102"/>
      <c r="AL425" s="102"/>
      <c r="AM425" s="102"/>
      <c r="AN425" s="102"/>
      <c r="AO425" s="102"/>
      <c r="AP425" s="102"/>
      <c r="AQ425" s="102"/>
      <c r="AR425" s="102"/>
      <c r="AS425" s="102"/>
      <c r="AT425" s="102"/>
      <c r="AU425" s="102"/>
    </row>
    <row r="426" spans="1:47" s="78" customFormat="1" ht="12.6" customHeight="1" x14ac:dyDescent="0.3">
      <c r="A426" s="102"/>
      <c r="V426" s="102"/>
      <c r="W426" s="102"/>
      <c r="X426" s="102"/>
      <c r="Y426" s="102"/>
      <c r="Z426" s="102"/>
      <c r="AA426" s="102"/>
      <c r="AB426" s="102"/>
      <c r="AC426" s="102"/>
      <c r="AD426" s="102"/>
      <c r="AE426" s="102"/>
      <c r="AF426" s="102"/>
      <c r="AG426" s="102"/>
      <c r="AH426" s="102"/>
      <c r="AI426" s="102"/>
      <c r="AJ426" s="102"/>
      <c r="AK426" s="102"/>
      <c r="AL426" s="102"/>
      <c r="AM426" s="102"/>
      <c r="AN426" s="102"/>
      <c r="AO426" s="102"/>
      <c r="AP426" s="102"/>
      <c r="AQ426" s="102"/>
      <c r="AR426" s="102"/>
      <c r="AS426" s="102"/>
      <c r="AT426" s="102"/>
      <c r="AU426" s="102"/>
    </row>
    <row r="427" spans="1:47" s="78" customFormat="1" ht="12.6" customHeight="1" x14ac:dyDescent="0.3">
      <c r="A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row>
    <row r="428" spans="1:47" s="78" customFormat="1" ht="12.6" customHeight="1" x14ac:dyDescent="0.3">
      <c r="A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row>
    <row r="429" spans="1:47" s="78" customFormat="1" ht="12.6" customHeight="1" x14ac:dyDescent="0.3">
      <c r="A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row>
    <row r="430" spans="1:47" s="78" customFormat="1" ht="12.6" customHeight="1" x14ac:dyDescent="0.3">
      <c r="A430" s="102"/>
      <c r="V430" s="102"/>
      <c r="W430" s="102"/>
      <c r="X430" s="102"/>
      <c r="Y430" s="102"/>
      <c r="Z430" s="102"/>
      <c r="AA430" s="102"/>
      <c r="AB430" s="102"/>
      <c r="AC430" s="102"/>
      <c r="AD430" s="102"/>
      <c r="AE430" s="102"/>
      <c r="AF430" s="102"/>
      <c r="AG430" s="102"/>
      <c r="AH430" s="102"/>
      <c r="AI430" s="102"/>
      <c r="AJ430" s="102"/>
      <c r="AK430" s="102"/>
      <c r="AL430" s="102"/>
      <c r="AM430" s="102"/>
      <c r="AN430" s="102"/>
      <c r="AO430" s="102"/>
      <c r="AP430" s="102"/>
      <c r="AQ430" s="102"/>
      <c r="AR430" s="102"/>
      <c r="AS430" s="102"/>
      <c r="AT430" s="102"/>
      <c r="AU430" s="102"/>
    </row>
    <row r="431" spans="1:47" s="78" customFormat="1" ht="12.6" customHeight="1" x14ac:dyDescent="0.3">
      <c r="A431" s="102"/>
      <c r="V431" s="102"/>
      <c r="W431" s="102"/>
      <c r="X431" s="102"/>
      <c r="Y431" s="102"/>
      <c r="Z431" s="102"/>
      <c r="AA431" s="102"/>
      <c r="AB431" s="102"/>
      <c r="AC431" s="102"/>
      <c r="AD431" s="102"/>
      <c r="AE431" s="102"/>
      <c r="AF431" s="102"/>
      <c r="AG431" s="102"/>
      <c r="AH431" s="102"/>
      <c r="AI431" s="102"/>
      <c r="AJ431" s="102"/>
      <c r="AK431" s="102"/>
      <c r="AL431" s="102"/>
      <c r="AM431" s="102"/>
      <c r="AN431" s="102"/>
      <c r="AO431" s="102"/>
      <c r="AP431" s="102"/>
      <c r="AQ431" s="102"/>
      <c r="AR431" s="102"/>
      <c r="AS431" s="102"/>
      <c r="AT431" s="102"/>
      <c r="AU431" s="102"/>
    </row>
    <row r="432" spans="1:47" s="78" customFormat="1" ht="12.6" customHeight="1" x14ac:dyDescent="0.3">
      <c r="A432" s="102"/>
      <c r="V432" s="102"/>
      <c r="W432" s="102"/>
      <c r="X432" s="102"/>
      <c r="Y432" s="102"/>
      <c r="Z432" s="102"/>
      <c r="AA432" s="102"/>
      <c r="AB432" s="102"/>
      <c r="AC432" s="102"/>
      <c r="AD432" s="102"/>
      <c r="AE432" s="102"/>
      <c r="AF432" s="102"/>
      <c r="AG432" s="102"/>
      <c r="AH432" s="102"/>
      <c r="AI432" s="102"/>
      <c r="AJ432" s="102"/>
      <c r="AK432" s="102"/>
      <c r="AL432" s="102"/>
      <c r="AM432" s="102"/>
      <c r="AN432" s="102"/>
      <c r="AO432" s="102"/>
      <c r="AP432" s="102"/>
      <c r="AQ432" s="102"/>
      <c r="AR432" s="102"/>
      <c r="AS432" s="102"/>
      <c r="AT432" s="102"/>
      <c r="AU432" s="102"/>
    </row>
    <row r="433" spans="1:47" s="78" customFormat="1" ht="12.6" customHeight="1" x14ac:dyDescent="0.3">
      <c r="A433" s="102"/>
      <c r="V433" s="102"/>
      <c r="W433" s="102"/>
      <c r="X433" s="102"/>
      <c r="Y433" s="102"/>
      <c r="Z433" s="102"/>
      <c r="AA433" s="102"/>
      <c r="AB433" s="102"/>
      <c r="AC433" s="102"/>
      <c r="AD433" s="102"/>
      <c r="AE433" s="102"/>
      <c r="AF433" s="102"/>
      <c r="AG433" s="102"/>
      <c r="AH433" s="102"/>
      <c r="AI433" s="102"/>
      <c r="AJ433" s="102"/>
      <c r="AK433" s="102"/>
      <c r="AL433" s="102"/>
      <c r="AM433" s="102"/>
      <c r="AN433" s="102"/>
      <c r="AO433" s="102"/>
      <c r="AP433" s="102"/>
      <c r="AQ433" s="102"/>
      <c r="AR433" s="102"/>
      <c r="AS433" s="102"/>
      <c r="AT433" s="102"/>
      <c r="AU433" s="102"/>
    </row>
    <row r="434" spans="1:47" s="78" customFormat="1" ht="12.6" customHeight="1" x14ac:dyDescent="0.3">
      <c r="A434" s="102"/>
      <c r="V434" s="102"/>
      <c r="W434" s="102"/>
      <c r="X434" s="102"/>
      <c r="Y434" s="102"/>
      <c r="Z434" s="102"/>
      <c r="AA434" s="102"/>
      <c r="AB434" s="102"/>
      <c r="AC434" s="102"/>
      <c r="AD434" s="102"/>
      <c r="AE434" s="102"/>
      <c r="AF434" s="102"/>
      <c r="AG434" s="102"/>
      <c r="AH434" s="102"/>
      <c r="AI434" s="102"/>
      <c r="AJ434" s="102"/>
      <c r="AK434" s="102"/>
      <c r="AL434" s="102"/>
      <c r="AM434" s="102"/>
      <c r="AN434" s="102"/>
      <c r="AO434" s="102"/>
      <c r="AP434" s="102"/>
      <c r="AQ434" s="102"/>
      <c r="AR434" s="102"/>
      <c r="AS434" s="102"/>
      <c r="AT434" s="102"/>
      <c r="AU434" s="102"/>
    </row>
    <row r="435" spans="1:47" s="78" customFormat="1" ht="12.6" customHeight="1" x14ac:dyDescent="0.3">
      <c r="A435" s="102"/>
      <c r="V435" s="102"/>
      <c r="W435" s="102"/>
      <c r="X435" s="102"/>
      <c r="Y435" s="102"/>
      <c r="Z435" s="102"/>
      <c r="AA435" s="102"/>
      <c r="AB435" s="102"/>
      <c r="AC435" s="102"/>
      <c r="AD435" s="102"/>
      <c r="AE435" s="102"/>
      <c r="AF435" s="102"/>
      <c r="AG435" s="102"/>
      <c r="AH435" s="102"/>
      <c r="AI435" s="102"/>
      <c r="AJ435" s="102"/>
      <c r="AK435" s="102"/>
      <c r="AL435" s="102"/>
      <c r="AM435" s="102"/>
      <c r="AN435" s="102"/>
      <c r="AO435" s="102"/>
      <c r="AP435" s="102"/>
      <c r="AQ435" s="102"/>
      <c r="AR435" s="102"/>
      <c r="AS435" s="102"/>
      <c r="AT435" s="102"/>
      <c r="AU435" s="102"/>
    </row>
    <row r="436" spans="1:47" s="78" customFormat="1" ht="12.6" customHeight="1" x14ac:dyDescent="0.3">
      <c r="A436" s="102"/>
      <c r="V436" s="102"/>
      <c r="W436" s="102"/>
      <c r="X436" s="102"/>
      <c r="Y436" s="102"/>
      <c r="Z436" s="102"/>
      <c r="AA436" s="102"/>
      <c r="AB436" s="102"/>
      <c r="AC436" s="102"/>
      <c r="AD436" s="102"/>
      <c r="AE436" s="102"/>
      <c r="AF436" s="102"/>
      <c r="AG436" s="102"/>
      <c r="AH436" s="102"/>
      <c r="AI436" s="102"/>
      <c r="AJ436" s="102"/>
      <c r="AK436" s="102"/>
      <c r="AL436" s="102"/>
      <c r="AM436" s="102"/>
      <c r="AN436" s="102"/>
      <c r="AO436" s="102"/>
      <c r="AP436" s="102"/>
      <c r="AQ436" s="102"/>
      <c r="AR436" s="102"/>
      <c r="AS436" s="102"/>
      <c r="AT436" s="102"/>
      <c r="AU436" s="102"/>
    </row>
    <row r="437" spans="1:47" s="78" customFormat="1" ht="12.6" customHeight="1" x14ac:dyDescent="0.3">
      <c r="A437" s="102"/>
      <c r="V437" s="102"/>
      <c r="W437" s="102"/>
      <c r="X437" s="102"/>
      <c r="Y437" s="102"/>
      <c r="Z437" s="102"/>
      <c r="AA437" s="102"/>
      <c r="AB437" s="102"/>
      <c r="AC437" s="102"/>
      <c r="AD437" s="102"/>
      <c r="AE437" s="102"/>
      <c r="AF437" s="102"/>
      <c r="AG437" s="102"/>
      <c r="AH437" s="102"/>
      <c r="AI437" s="102"/>
      <c r="AJ437" s="102"/>
      <c r="AK437" s="102"/>
      <c r="AL437" s="102"/>
      <c r="AM437" s="102"/>
      <c r="AN437" s="102"/>
      <c r="AO437" s="102"/>
      <c r="AP437" s="102"/>
      <c r="AQ437" s="102"/>
      <c r="AR437" s="102"/>
      <c r="AS437" s="102"/>
      <c r="AT437" s="102"/>
      <c r="AU437" s="102"/>
    </row>
    <row r="438" spans="1:47" s="78" customFormat="1" ht="12.6" customHeight="1" x14ac:dyDescent="0.3">
      <c r="A438" s="102"/>
      <c r="V438" s="102"/>
      <c r="W438" s="102"/>
      <c r="X438" s="102"/>
      <c r="Y438" s="102"/>
      <c r="Z438" s="102"/>
      <c r="AA438" s="102"/>
      <c r="AB438" s="102"/>
      <c r="AC438" s="102"/>
      <c r="AD438" s="102"/>
      <c r="AE438" s="102"/>
      <c r="AF438" s="102"/>
      <c r="AG438" s="102"/>
      <c r="AH438" s="102"/>
      <c r="AI438" s="102"/>
      <c r="AJ438" s="102"/>
      <c r="AK438" s="102"/>
      <c r="AL438" s="102"/>
      <c r="AM438" s="102"/>
      <c r="AN438" s="102"/>
      <c r="AO438" s="102"/>
      <c r="AP438" s="102"/>
      <c r="AQ438" s="102"/>
      <c r="AR438" s="102"/>
      <c r="AS438" s="102"/>
      <c r="AT438" s="102"/>
      <c r="AU438" s="102"/>
    </row>
    <row r="439" spans="1:47" s="78" customFormat="1" ht="12.6" customHeight="1" x14ac:dyDescent="0.3">
      <c r="A439" s="102"/>
      <c r="V439" s="102"/>
      <c r="W439" s="102"/>
      <c r="X439" s="102"/>
      <c r="Y439" s="102"/>
      <c r="Z439" s="102"/>
      <c r="AA439" s="102"/>
      <c r="AB439" s="102"/>
      <c r="AC439" s="102"/>
      <c r="AD439" s="102"/>
      <c r="AE439" s="102"/>
      <c r="AF439" s="102"/>
      <c r="AG439" s="102"/>
      <c r="AH439" s="102"/>
      <c r="AI439" s="102"/>
      <c r="AJ439" s="102"/>
      <c r="AK439" s="102"/>
      <c r="AL439" s="102"/>
      <c r="AM439" s="102"/>
      <c r="AN439" s="102"/>
      <c r="AO439" s="102"/>
      <c r="AP439" s="102"/>
      <c r="AQ439" s="102"/>
      <c r="AR439" s="102"/>
      <c r="AS439" s="102"/>
      <c r="AT439" s="102"/>
      <c r="AU439" s="102"/>
    </row>
    <row r="440" spans="1:47" s="78" customFormat="1" ht="12.6" customHeight="1" x14ac:dyDescent="0.3">
      <c r="A440" s="102"/>
      <c r="V440" s="102"/>
      <c r="W440" s="102"/>
      <c r="X440" s="102"/>
      <c r="Y440" s="102"/>
      <c r="Z440" s="102"/>
      <c r="AA440" s="102"/>
      <c r="AB440" s="102"/>
      <c r="AC440" s="102"/>
      <c r="AD440" s="102"/>
      <c r="AE440" s="102"/>
      <c r="AF440" s="102"/>
      <c r="AG440" s="102"/>
      <c r="AH440" s="102"/>
      <c r="AI440" s="102"/>
      <c r="AJ440" s="102"/>
      <c r="AK440" s="102"/>
      <c r="AL440" s="102"/>
      <c r="AM440" s="102"/>
      <c r="AN440" s="102"/>
      <c r="AO440" s="102"/>
      <c r="AP440" s="102"/>
      <c r="AQ440" s="102"/>
      <c r="AR440" s="102"/>
      <c r="AS440" s="102"/>
      <c r="AT440" s="102"/>
      <c r="AU440" s="102"/>
    </row>
    <row r="441" spans="1:47" s="78" customFormat="1" ht="12.6" customHeight="1" x14ac:dyDescent="0.3">
      <c r="A441" s="102"/>
      <c r="V441" s="102"/>
      <c r="W441" s="102"/>
      <c r="X441" s="102"/>
      <c r="Y441" s="102"/>
      <c r="Z441" s="102"/>
      <c r="AA441" s="102"/>
      <c r="AB441" s="102"/>
      <c r="AC441" s="102"/>
      <c r="AD441" s="102"/>
      <c r="AE441" s="102"/>
      <c r="AF441" s="102"/>
      <c r="AG441" s="102"/>
      <c r="AH441" s="102"/>
      <c r="AI441" s="102"/>
      <c r="AJ441" s="102"/>
      <c r="AK441" s="102"/>
      <c r="AL441" s="102"/>
      <c r="AM441" s="102"/>
      <c r="AN441" s="102"/>
      <c r="AO441" s="102"/>
      <c r="AP441" s="102"/>
      <c r="AQ441" s="102"/>
      <c r="AR441" s="102"/>
      <c r="AS441" s="102"/>
      <c r="AT441" s="102"/>
      <c r="AU441" s="102"/>
    </row>
    <row r="442" spans="1:47" s="78" customFormat="1" ht="12.6" customHeight="1" x14ac:dyDescent="0.3">
      <c r="A442" s="102"/>
      <c r="V442" s="102"/>
      <c r="W442" s="102"/>
      <c r="X442" s="102"/>
      <c r="Y442" s="102"/>
      <c r="Z442" s="102"/>
      <c r="AA442" s="102"/>
      <c r="AB442" s="102"/>
      <c r="AC442" s="102"/>
      <c r="AD442" s="102"/>
      <c r="AE442" s="102"/>
      <c r="AF442" s="102"/>
      <c r="AG442" s="102"/>
      <c r="AH442" s="102"/>
      <c r="AI442" s="102"/>
      <c r="AJ442" s="102"/>
      <c r="AK442" s="102"/>
      <c r="AL442" s="102"/>
      <c r="AM442" s="102"/>
      <c r="AN442" s="102"/>
      <c r="AO442" s="102"/>
      <c r="AP442" s="102"/>
      <c r="AQ442" s="102"/>
      <c r="AR442" s="102"/>
      <c r="AS442" s="102"/>
      <c r="AT442" s="102"/>
      <c r="AU442" s="102"/>
    </row>
    <row r="443" spans="1:47" s="78" customFormat="1" ht="12.6" customHeight="1" x14ac:dyDescent="0.3">
      <c r="A443" s="102"/>
      <c r="V443" s="102"/>
      <c r="W443" s="102"/>
      <c r="X443" s="102"/>
      <c r="Y443" s="102"/>
      <c r="Z443" s="102"/>
      <c r="AA443" s="102"/>
      <c r="AB443" s="102"/>
      <c r="AC443" s="102"/>
      <c r="AD443" s="102"/>
      <c r="AE443" s="102"/>
      <c r="AF443" s="102"/>
      <c r="AG443" s="102"/>
      <c r="AH443" s="102"/>
      <c r="AI443" s="102"/>
      <c r="AJ443" s="102"/>
      <c r="AK443" s="102"/>
      <c r="AL443" s="102"/>
      <c r="AM443" s="102"/>
      <c r="AN443" s="102"/>
      <c r="AO443" s="102"/>
      <c r="AP443" s="102"/>
      <c r="AQ443" s="102"/>
      <c r="AR443" s="102"/>
      <c r="AS443" s="102"/>
      <c r="AT443" s="102"/>
      <c r="AU443" s="102"/>
    </row>
    <row r="444" spans="1:47" s="78" customFormat="1" ht="12.6" customHeight="1" x14ac:dyDescent="0.3">
      <c r="A444" s="102"/>
      <c r="V444" s="102"/>
      <c r="W444" s="102"/>
      <c r="X444" s="102"/>
      <c r="Y444" s="102"/>
      <c r="Z444" s="102"/>
      <c r="AA444" s="102"/>
      <c r="AB444" s="102"/>
      <c r="AC444" s="102"/>
      <c r="AD444" s="102"/>
      <c r="AE444" s="102"/>
      <c r="AF444" s="102"/>
      <c r="AG444" s="102"/>
      <c r="AH444" s="102"/>
      <c r="AI444" s="102"/>
      <c r="AJ444" s="102"/>
      <c r="AK444" s="102"/>
      <c r="AL444" s="102"/>
      <c r="AM444" s="102"/>
      <c r="AN444" s="102"/>
      <c r="AO444" s="102"/>
      <c r="AP444" s="102"/>
      <c r="AQ444" s="102"/>
      <c r="AR444" s="102"/>
      <c r="AS444" s="102"/>
      <c r="AT444" s="102"/>
      <c r="AU444" s="102"/>
    </row>
    <row r="445" spans="1:47" s="78" customFormat="1" ht="12.6" customHeight="1" x14ac:dyDescent="0.3">
      <c r="A445" s="102"/>
      <c r="V445" s="102"/>
      <c r="W445" s="102"/>
      <c r="X445" s="102"/>
      <c r="Y445" s="102"/>
      <c r="Z445" s="102"/>
      <c r="AA445" s="102"/>
      <c r="AB445" s="102"/>
      <c r="AC445" s="102"/>
      <c r="AD445" s="102"/>
      <c r="AE445" s="102"/>
      <c r="AF445" s="102"/>
      <c r="AG445" s="102"/>
      <c r="AH445" s="102"/>
      <c r="AI445" s="102"/>
      <c r="AJ445" s="102"/>
      <c r="AK445" s="102"/>
      <c r="AL445" s="102"/>
      <c r="AM445" s="102"/>
      <c r="AN445" s="102"/>
      <c r="AO445" s="102"/>
      <c r="AP445" s="102"/>
      <c r="AQ445" s="102"/>
      <c r="AR445" s="102"/>
      <c r="AS445" s="102"/>
      <c r="AT445" s="102"/>
      <c r="AU445" s="102"/>
    </row>
    <row r="446" spans="1:47" s="78" customFormat="1" ht="12.6" customHeight="1" x14ac:dyDescent="0.3">
      <c r="A446" s="102"/>
      <c r="V446" s="102"/>
      <c r="W446" s="102"/>
      <c r="X446" s="102"/>
      <c r="Y446" s="102"/>
      <c r="Z446" s="102"/>
      <c r="AA446" s="102"/>
      <c r="AB446" s="102"/>
      <c r="AC446" s="102"/>
      <c r="AD446" s="102"/>
      <c r="AE446" s="102"/>
      <c r="AF446" s="102"/>
      <c r="AG446" s="102"/>
      <c r="AH446" s="102"/>
      <c r="AI446" s="102"/>
      <c r="AJ446" s="102"/>
      <c r="AK446" s="102"/>
      <c r="AL446" s="102"/>
      <c r="AM446" s="102"/>
      <c r="AN446" s="102"/>
      <c r="AO446" s="102"/>
      <c r="AP446" s="102"/>
      <c r="AQ446" s="102"/>
      <c r="AR446" s="102"/>
      <c r="AS446" s="102"/>
      <c r="AT446" s="102"/>
      <c r="AU446" s="102"/>
    </row>
    <row r="447" spans="1:47" s="78" customFormat="1" ht="12.6" customHeight="1" x14ac:dyDescent="0.3">
      <c r="A447" s="102"/>
      <c r="V447" s="102"/>
      <c r="W447" s="102"/>
      <c r="X447" s="102"/>
      <c r="Y447" s="102"/>
      <c r="Z447" s="102"/>
      <c r="AA447" s="102"/>
      <c r="AB447" s="102"/>
      <c r="AC447" s="102"/>
      <c r="AD447" s="102"/>
      <c r="AE447" s="102"/>
      <c r="AF447" s="102"/>
      <c r="AG447" s="102"/>
      <c r="AH447" s="102"/>
      <c r="AI447" s="102"/>
      <c r="AJ447" s="102"/>
      <c r="AK447" s="102"/>
      <c r="AL447" s="102"/>
      <c r="AM447" s="102"/>
      <c r="AN447" s="102"/>
      <c r="AO447" s="102"/>
      <c r="AP447" s="102"/>
      <c r="AQ447" s="102"/>
      <c r="AR447" s="102"/>
      <c r="AS447" s="102"/>
      <c r="AT447" s="102"/>
      <c r="AU447" s="102"/>
    </row>
    <row r="448" spans="1:47" s="78" customFormat="1" ht="12.6" customHeight="1" x14ac:dyDescent="0.3">
      <c r="A448" s="102"/>
      <c r="V448" s="102"/>
      <c r="W448" s="102"/>
      <c r="X448" s="102"/>
      <c r="Y448" s="102"/>
      <c r="Z448" s="102"/>
      <c r="AA448" s="102"/>
      <c r="AB448" s="102"/>
      <c r="AC448" s="102"/>
      <c r="AD448" s="102"/>
      <c r="AE448" s="102"/>
      <c r="AF448" s="102"/>
      <c r="AG448" s="102"/>
      <c r="AH448" s="102"/>
      <c r="AI448" s="102"/>
      <c r="AJ448" s="102"/>
      <c r="AK448" s="102"/>
      <c r="AL448" s="102"/>
      <c r="AM448" s="102"/>
      <c r="AN448" s="102"/>
      <c r="AO448" s="102"/>
      <c r="AP448" s="102"/>
      <c r="AQ448" s="102"/>
      <c r="AR448" s="102"/>
      <c r="AS448" s="102"/>
      <c r="AT448" s="102"/>
      <c r="AU448" s="102"/>
    </row>
    <row r="449" spans="1:47" s="78" customFormat="1" ht="12.6" customHeight="1" x14ac:dyDescent="0.3">
      <c r="A449" s="102"/>
      <c r="V449" s="102"/>
      <c r="W449" s="102"/>
      <c r="X449" s="102"/>
      <c r="Y449" s="102"/>
      <c r="Z449" s="102"/>
      <c r="AA449" s="102"/>
      <c r="AB449" s="102"/>
      <c r="AC449" s="102"/>
      <c r="AD449" s="102"/>
      <c r="AE449" s="102"/>
      <c r="AF449" s="102"/>
      <c r="AG449" s="102"/>
      <c r="AH449" s="102"/>
      <c r="AI449" s="102"/>
      <c r="AJ449" s="102"/>
      <c r="AK449" s="102"/>
      <c r="AL449" s="102"/>
      <c r="AM449" s="102"/>
      <c r="AN449" s="102"/>
      <c r="AO449" s="102"/>
      <c r="AP449" s="102"/>
      <c r="AQ449" s="102"/>
      <c r="AR449" s="102"/>
      <c r="AS449" s="102"/>
      <c r="AT449" s="102"/>
      <c r="AU449" s="102"/>
    </row>
    <row r="450" spans="1:47" s="78" customFormat="1" ht="12.6" customHeight="1" x14ac:dyDescent="0.3">
      <c r="A450" s="102"/>
      <c r="V450" s="102"/>
      <c r="W450" s="102"/>
      <c r="X450" s="102"/>
      <c r="Y450" s="102"/>
      <c r="Z450" s="102"/>
      <c r="AA450" s="102"/>
      <c r="AB450" s="102"/>
      <c r="AC450" s="102"/>
      <c r="AD450" s="102"/>
      <c r="AE450" s="102"/>
      <c r="AF450" s="102"/>
      <c r="AG450" s="102"/>
      <c r="AH450" s="102"/>
      <c r="AI450" s="102"/>
      <c r="AJ450" s="102"/>
      <c r="AK450" s="102"/>
      <c r="AL450" s="102"/>
      <c r="AM450" s="102"/>
      <c r="AN450" s="102"/>
      <c r="AO450" s="102"/>
      <c r="AP450" s="102"/>
      <c r="AQ450" s="102"/>
      <c r="AR450" s="102"/>
      <c r="AS450" s="102"/>
      <c r="AT450" s="102"/>
      <c r="AU450" s="102"/>
    </row>
    <row r="451" spans="1:47" s="78" customFormat="1" ht="12.6" customHeight="1" x14ac:dyDescent="0.3">
      <c r="A451" s="102"/>
      <c r="V451" s="102"/>
      <c r="W451" s="102"/>
      <c r="X451" s="102"/>
      <c r="Y451" s="102"/>
      <c r="Z451" s="102"/>
      <c r="AA451" s="102"/>
      <c r="AB451" s="102"/>
      <c r="AC451" s="102"/>
      <c r="AD451" s="102"/>
      <c r="AE451" s="102"/>
      <c r="AF451" s="102"/>
      <c r="AG451" s="102"/>
      <c r="AH451" s="102"/>
      <c r="AI451" s="102"/>
      <c r="AJ451" s="102"/>
      <c r="AK451" s="102"/>
      <c r="AL451" s="102"/>
      <c r="AM451" s="102"/>
      <c r="AN451" s="102"/>
      <c r="AO451" s="102"/>
      <c r="AP451" s="102"/>
      <c r="AQ451" s="102"/>
      <c r="AR451" s="102"/>
      <c r="AS451" s="102"/>
      <c r="AT451" s="102"/>
      <c r="AU451" s="102"/>
    </row>
    <row r="452" spans="1:47" s="78" customFormat="1" ht="12.6" customHeight="1" x14ac:dyDescent="0.3">
      <c r="A452" s="102"/>
      <c r="V452" s="102"/>
      <c r="W452" s="102"/>
      <c r="X452" s="102"/>
      <c r="Y452" s="102"/>
      <c r="Z452" s="102"/>
      <c r="AA452" s="102"/>
      <c r="AB452" s="102"/>
      <c r="AC452" s="102"/>
      <c r="AD452" s="102"/>
      <c r="AE452" s="102"/>
      <c r="AF452" s="102"/>
      <c r="AG452" s="102"/>
      <c r="AH452" s="102"/>
      <c r="AI452" s="102"/>
      <c r="AJ452" s="102"/>
      <c r="AK452" s="102"/>
      <c r="AL452" s="102"/>
      <c r="AM452" s="102"/>
      <c r="AN452" s="102"/>
      <c r="AO452" s="102"/>
      <c r="AP452" s="102"/>
      <c r="AQ452" s="102"/>
      <c r="AR452" s="102"/>
      <c r="AS452" s="102"/>
      <c r="AT452" s="102"/>
      <c r="AU452" s="102"/>
    </row>
    <row r="453" spans="1:47" s="78" customFormat="1" ht="12.6" customHeight="1" x14ac:dyDescent="0.3">
      <c r="A453" s="102"/>
      <c r="V453" s="102"/>
      <c r="W453" s="102"/>
      <c r="X453" s="102"/>
      <c r="Y453" s="102"/>
      <c r="Z453" s="102"/>
      <c r="AA453" s="102"/>
      <c r="AB453" s="102"/>
      <c r="AC453" s="102"/>
      <c r="AD453" s="102"/>
      <c r="AE453" s="102"/>
      <c r="AF453" s="102"/>
      <c r="AG453" s="102"/>
      <c r="AH453" s="102"/>
      <c r="AI453" s="102"/>
      <c r="AJ453" s="102"/>
      <c r="AK453" s="102"/>
      <c r="AL453" s="102"/>
      <c r="AM453" s="102"/>
      <c r="AN453" s="102"/>
      <c r="AO453" s="102"/>
      <c r="AP453" s="102"/>
      <c r="AQ453" s="102"/>
      <c r="AR453" s="102"/>
      <c r="AS453" s="102"/>
      <c r="AT453" s="102"/>
      <c r="AU453" s="102"/>
    </row>
    <row r="454" spans="1:47" s="78" customFormat="1" ht="12.6" customHeight="1" x14ac:dyDescent="0.3">
      <c r="A454" s="102"/>
      <c r="V454" s="102"/>
      <c r="W454" s="102"/>
      <c r="X454" s="102"/>
      <c r="Y454" s="102"/>
      <c r="Z454" s="102"/>
      <c r="AA454" s="102"/>
      <c r="AB454" s="102"/>
      <c r="AC454" s="102"/>
      <c r="AD454" s="102"/>
      <c r="AE454" s="102"/>
      <c r="AF454" s="102"/>
      <c r="AG454" s="102"/>
      <c r="AH454" s="102"/>
      <c r="AI454" s="102"/>
      <c r="AJ454" s="102"/>
      <c r="AK454" s="102"/>
      <c r="AL454" s="102"/>
      <c r="AM454" s="102"/>
      <c r="AN454" s="102"/>
      <c r="AO454" s="102"/>
      <c r="AP454" s="102"/>
      <c r="AQ454" s="102"/>
      <c r="AR454" s="102"/>
      <c r="AS454" s="102"/>
      <c r="AT454" s="102"/>
      <c r="AU454" s="102"/>
    </row>
    <row r="455" spans="1:47" s="78" customFormat="1" ht="12.6" customHeight="1" x14ac:dyDescent="0.3">
      <c r="A455" s="102"/>
      <c r="V455" s="102"/>
      <c r="W455" s="102"/>
      <c r="X455" s="102"/>
      <c r="Y455" s="102"/>
      <c r="Z455" s="102"/>
      <c r="AA455" s="102"/>
      <c r="AB455" s="102"/>
      <c r="AC455" s="102"/>
      <c r="AD455" s="102"/>
      <c r="AE455" s="102"/>
      <c r="AF455" s="102"/>
      <c r="AG455" s="102"/>
      <c r="AH455" s="102"/>
      <c r="AI455" s="102"/>
      <c r="AJ455" s="102"/>
      <c r="AK455" s="102"/>
      <c r="AL455" s="102"/>
      <c r="AM455" s="102"/>
      <c r="AN455" s="102"/>
      <c r="AO455" s="102"/>
      <c r="AP455" s="102"/>
      <c r="AQ455" s="102"/>
      <c r="AR455" s="102"/>
      <c r="AS455" s="102"/>
      <c r="AT455" s="102"/>
      <c r="AU455" s="102"/>
    </row>
    <row r="456" spans="1:47" s="78" customFormat="1" ht="12.6" customHeight="1" x14ac:dyDescent="0.3">
      <c r="A456" s="102"/>
      <c r="V456" s="102"/>
      <c r="W456" s="102"/>
      <c r="X456" s="102"/>
      <c r="Y456" s="102"/>
      <c r="Z456" s="102"/>
      <c r="AA456" s="102"/>
      <c r="AB456" s="102"/>
      <c r="AC456" s="102"/>
      <c r="AD456" s="102"/>
      <c r="AE456" s="102"/>
      <c r="AF456" s="102"/>
      <c r="AG456" s="102"/>
      <c r="AH456" s="102"/>
      <c r="AI456" s="102"/>
      <c r="AJ456" s="102"/>
      <c r="AK456" s="102"/>
      <c r="AL456" s="102"/>
      <c r="AM456" s="102"/>
      <c r="AN456" s="102"/>
      <c r="AO456" s="102"/>
      <c r="AP456" s="102"/>
      <c r="AQ456" s="102"/>
      <c r="AR456" s="102"/>
      <c r="AS456" s="102"/>
      <c r="AT456" s="102"/>
      <c r="AU456" s="102"/>
    </row>
    <row r="457" spans="1:47" s="78" customFormat="1" ht="12.6" customHeight="1" x14ac:dyDescent="0.3">
      <c r="A457" s="102"/>
      <c r="V457" s="102"/>
      <c r="W457" s="102"/>
      <c r="X457" s="102"/>
      <c r="Y457" s="102"/>
      <c r="Z457" s="102"/>
      <c r="AA457" s="102"/>
      <c r="AB457" s="102"/>
      <c r="AC457" s="102"/>
      <c r="AD457" s="102"/>
      <c r="AE457" s="102"/>
      <c r="AF457" s="102"/>
      <c r="AG457" s="102"/>
      <c r="AH457" s="102"/>
      <c r="AI457" s="102"/>
      <c r="AJ457" s="102"/>
      <c r="AK457" s="102"/>
      <c r="AL457" s="102"/>
      <c r="AM457" s="102"/>
      <c r="AN457" s="102"/>
      <c r="AO457" s="102"/>
      <c r="AP457" s="102"/>
      <c r="AQ457" s="102"/>
      <c r="AR457" s="102"/>
      <c r="AS457" s="102"/>
      <c r="AT457" s="102"/>
      <c r="AU457" s="102"/>
    </row>
    <row r="458" spans="1:47" s="78" customFormat="1" ht="12.6" customHeight="1" x14ac:dyDescent="0.3">
      <c r="A458" s="102"/>
      <c r="V458" s="102"/>
      <c r="W458" s="102"/>
      <c r="X458" s="102"/>
      <c r="Y458" s="102"/>
      <c r="Z458" s="102"/>
      <c r="AA458" s="102"/>
      <c r="AB458" s="102"/>
      <c r="AC458" s="102"/>
      <c r="AD458" s="102"/>
      <c r="AE458" s="102"/>
      <c r="AF458" s="102"/>
      <c r="AG458" s="102"/>
      <c r="AH458" s="102"/>
      <c r="AI458" s="102"/>
      <c r="AJ458" s="102"/>
      <c r="AK458" s="102"/>
      <c r="AL458" s="102"/>
      <c r="AM458" s="102"/>
      <c r="AN458" s="102"/>
      <c r="AO458" s="102"/>
      <c r="AP458" s="102"/>
      <c r="AQ458" s="102"/>
      <c r="AR458" s="102"/>
      <c r="AS458" s="102"/>
      <c r="AT458" s="102"/>
      <c r="AU458" s="102"/>
    </row>
    <row r="459" spans="1:47" s="78" customFormat="1" ht="12.6" customHeight="1" x14ac:dyDescent="0.3">
      <c r="A459" s="102"/>
      <c r="V459" s="102"/>
      <c r="W459" s="102"/>
      <c r="X459" s="102"/>
      <c r="Y459" s="102"/>
      <c r="Z459" s="102"/>
      <c r="AA459" s="102"/>
      <c r="AB459" s="102"/>
      <c r="AC459" s="102"/>
      <c r="AD459" s="102"/>
      <c r="AE459" s="102"/>
      <c r="AF459" s="102"/>
      <c r="AG459" s="102"/>
      <c r="AH459" s="102"/>
      <c r="AI459" s="102"/>
      <c r="AJ459" s="102"/>
      <c r="AK459" s="102"/>
      <c r="AL459" s="102"/>
      <c r="AM459" s="102"/>
      <c r="AN459" s="102"/>
      <c r="AO459" s="102"/>
      <c r="AP459" s="102"/>
      <c r="AQ459" s="102"/>
      <c r="AR459" s="102"/>
      <c r="AS459" s="102"/>
      <c r="AT459" s="102"/>
      <c r="AU459" s="102"/>
    </row>
    <row r="460" spans="1:47" s="78" customFormat="1" ht="12.6" customHeight="1" x14ac:dyDescent="0.3">
      <c r="A460" s="102"/>
      <c r="V460" s="102"/>
      <c r="W460" s="102"/>
      <c r="X460" s="102"/>
      <c r="Y460" s="102"/>
      <c r="Z460" s="102"/>
      <c r="AA460" s="102"/>
      <c r="AB460" s="102"/>
      <c r="AC460" s="102"/>
      <c r="AD460" s="102"/>
      <c r="AE460" s="102"/>
      <c r="AF460" s="102"/>
      <c r="AG460" s="102"/>
      <c r="AH460" s="102"/>
      <c r="AI460" s="102"/>
      <c r="AJ460" s="102"/>
      <c r="AK460" s="102"/>
      <c r="AL460" s="102"/>
      <c r="AM460" s="102"/>
      <c r="AN460" s="102"/>
      <c r="AO460" s="102"/>
      <c r="AP460" s="102"/>
      <c r="AQ460" s="102"/>
      <c r="AR460" s="102"/>
      <c r="AS460" s="102"/>
      <c r="AT460" s="102"/>
      <c r="AU460" s="102"/>
    </row>
    <row r="461" spans="1:47" s="78" customFormat="1" ht="12.6" customHeight="1" x14ac:dyDescent="0.3">
      <c r="A461" s="102"/>
      <c r="V461" s="102"/>
      <c r="W461" s="102"/>
      <c r="X461" s="102"/>
      <c r="Y461" s="102"/>
      <c r="Z461" s="102"/>
      <c r="AA461" s="102"/>
      <c r="AB461" s="102"/>
      <c r="AC461" s="102"/>
      <c r="AD461" s="102"/>
      <c r="AE461" s="102"/>
      <c r="AF461" s="102"/>
      <c r="AG461" s="102"/>
      <c r="AH461" s="102"/>
      <c r="AI461" s="102"/>
      <c r="AJ461" s="102"/>
      <c r="AK461" s="102"/>
      <c r="AL461" s="102"/>
      <c r="AM461" s="102"/>
      <c r="AN461" s="102"/>
      <c r="AO461" s="102"/>
      <c r="AP461" s="102"/>
      <c r="AQ461" s="102"/>
      <c r="AR461" s="102"/>
      <c r="AS461" s="102"/>
      <c r="AT461" s="102"/>
      <c r="AU461" s="102"/>
    </row>
    <row r="462" spans="1:47" s="78" customFormat="1" ht="12.6" customHeight="1" x14ac:dyDescent="0.3">
      <c r="A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row>
    <row r="463" spans="1:47" s="78" customFormat="1" ht="12.6" customHeight="1" x14ac:dyDescent="0.3">
      <c r="A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row>
    <row r="464" spans="1:47" s="78" customFormat="1" ht="12.6" customHeight="1" x14ac:dyDescent="0.3">
      <c r="A464" s="102"/>
      <c r="V464" s="102"/>
      <c r="W464" s="102"/>
      <c r="X464" s="102"/>
      <c r="Y464" s="102"/>
      <c r="Z464" s="102"/>
      <c r="AA464" s="102"/>
      <c r="AB464" s="102"/>
      <c r="AC464" s="102"/>
      <c r="AD464" s="102"/>
      <c r="AE464" s="102"/>
      <c r="AF464" s="102"/>
      <c r="AG464" s="102"/>
      <c r="AH464" s="102"/>
      <c r="AI464" s="102"/>
      <c r="AJ464" s="102"/>
      <c r="AK464" s="102"/>
      <c r="AL464" s="102"/>
      <c r="AM464" s="102"/>
      <c r="AN464" s="102"/>
      <c r="AO464" s="102"/>
      <c r="AP464" s="102"/>
      <c r="AQ464" s="102"/>
      <c r="AR464" s="102"/>
      <c r="AS464" s="102"/>
      <c r="AT464" s="102"/>
      <c r="AU464" s="102"/>
    </row>
    <row r="465" spans="1:47" s="78" customFormat="1" ht="12.6" customHeight="1" x14ac:dyDescent="0.3">
      <c r="A465" s="102"/>
      <c r="V465" s="102"/>
      <c r="W465" s="102"/>
      <c r="X465" s="102"/>
      <c r="Y465" s="102"/>
      <c r="Z465" s="102"/>
      <c r="AA465" s="102"/>
      <c r="AB465" s="102"/>
      <c r="AC465" s="102"/>
      <c r="AD465" s="102"/>
      <c r="AE465" s="102"/>
      <c r="AF465" s="102"/>
      <c r="AG465" s="102"/>
      <c r="AH465" s="102"/>
      <c r="AI465" s="102"/>
      <c r="AJ465" s="102"/>
      <c r="AK465" s="102"/>
      <c r="AL465" s="102"/>
      <c r="AM465" s="102"/>
      <c r="AN465" s="102"/>
      <c r="AO465" s="102"/>
      <c r="AP465" s="102"/>
      <c r="AQ465" s="102"/>
      <c r="AR465" s="102"/>
      <c r="AS465" s="102"/>
      <c r="AT465" s="102"/>
      <c r="AU465" s="102"/>
    </row>
    <row r="466" spans="1:47" s="78" customFormat="1" ht="12.6" customHeight="1" x14ac:dyDescent="0.3">
      <c r="A466" s="102"/>
      <c r="V466" s="102"/>
      <c r="W466" s="102"/>
      <c r="X466" s="102"/>
      <c r="Y466" s="102"/>
      <c r="Z466" s="102"/>
      <c r="AA466" s="102"/>
      <c r="AB466" s="102"/>
      <c r="AC466" s="102"/>
      <c r="AD466" s="102"/>
      <c r="AE466" s="102"/>
      <c r="AF466" s="102"/>
      <c r="AG466" s="102"/>
      <c r="AH466" s="102"/>
      <c r="AI466" s="102"/>
      <c r="AJ466" s="102"/>
      <c r="AK466" s="102"/>
      <c r="AL466" s="102"/>
      <c r="AM466" s="102"/>
      <c r="AN466" s="102"/>
      <c r="AO466" s="102"/>
      <c r="AP466" s="102"/>
      <c r="AQ466" s="102"/>
      <c r="AR466" s="102"/>
      <c r="AS466" s="102"/>
      <c r="AT466" s="102"/>
      <c r="AU466" s="102"/>
    </row>
    <row r="467" spans="1:47" s="78" customFormat="1" ht="12.6" customHeight="1" x14ac:dyDescent="0.3">
      <c r="A467" s="102"/>
      <c r="V467" s="102"/>
      <c r="W467" s="102"/>
      <c r="X467" s="102"/>
      <c r="Y467" s="102"/>
      <c r="Z467" s="102"/>
      <c r="AA467" s="102"/>
      <c r="AB467" s="102"/>
      <c r="AC467" s="102"/>
      <c r="AD467" s="102"/>
      <c r="AE467" s="102"/>
      <c r="AF467" s="102"/>
      <c r="AG467" s="102"/>
      <c r="AH467" s="102"/>
      <c r="AI467" s="102"/>
      <c r="AJ467" s="102"/>
      <c r="AK467" s="102"/>
      <c r="AL467" s="102"/>
      <c r="AM467" s="102"/>
      <c r="AN467" s="102"/>
      <c r="AO467" s="102"/>
      <c r="AP467" s="102"/>
      <c r="AQ467" s="102"/>
      <c r="AR467" s="102"/>
      <c r="AS467" s="102"/>
      <c r="AT467" s="102"/>
      <c r="AU467" s="102"/>
    </row>
    <row r="468" spans="1:47" s="78" customFormat="1" ht="12.6" customHeight="1" x14ac:dyDescent="0.3">
      <c r="A468" s="102"/>
      <c r="V468" s="102"/>
      <c r="W468" s="102"/>
      <c r="X468" s="102"/>
      <c r="Y468" s="102"/>
      <c r="Z468" s="102"/>
      <c r="AA468" s="102"/>
      <c r="AB468" s="102"/>
      <c r="AC468" s="102"/>
      <c r="AD468" s="102"/>
      <c r="AE468" s="102"/>
      <c r="AF468" s="102"/>
      <c r="AG468" s="102"/>
      <c r="AH468" s="102"/>
      <c r="AI468" s="102"/>
      <c r="AJ468" s="102"/>
      <c r="AK468" s="102"/>
      <c r="AL468" s="102"/>
      <c r="AM468" s="102"/>
      <c r="AN468" s="102"/>
      <c r="AO468" s="102"/>
      <c r="AP468" s="102"/>
      <c r="AQ468" s="102"/>
      <c r="AR468" s="102"/>
      <c r="AS468" s="102"/>
      <c r="AT468" s="102"/>
      <c r="AU468" s="102"/>
    </row>
    <row r="469" spans="1:47" s="78" customFormat="1" ht="12.6" customHeight="1" x14ac:dyDescent="0.3">
      <c r="A469" s="102"/>
      <c r="V469" s="102"/>
      <c r="W469" s="102"/>
      <c r="X469" s="102"/>
      <c r="Y469" s="102"/>
      <c r="Z469" s="102"/>
      <c r="AA469" s="102"/>
      <c r="AB469" s="102"/>
      <c r="AC469" s="102"/>
      <c r="AD469" s="102"/>
      <c r="AE469" s="102"/>
      <c r="AF469" s="102"/>
      <c r="AG469" s="102"/>
      <c r="AH469" s="102"/>
      <c r="AI469" s="102"/>
      <c r="AJ469" s="102"/>
      <c r="AK469" s="102"/>
      <c r="AL469" s="102"/>
      <c r="AM469" s="102"/>
      <c r="AN469" s="102"/>
      <c r="AO469" s="102"/>
      <c r="AP469" s="102"/>
      <c r="AQ469" s="102"/>
      <c r="AR469" s="102"/>
      <c r="AS469" s="102"/>
      <c r="AT469" s="102"/>
      <c r="AU469" s="102"/>
    </row>
    <row r="470" spans="1:47" s="78" customFormat="1" ht="12.6" customHeight="1" x14ac:dyDescent="0.3">
      <c r="A470" s="102"/>
      <c r="V470" s="102"/>
      <c r="W470" s="102"/>
      <c r="X470" s="102"/>
      <c r="Y470" s="102"/>
      <c r="Z470" s="102"/>
      <c r="AA470" s="102"/>
      <c r="AB470" s="102"/>
      <c r="AC470" s="102"/>
      <c r="AD470" s="102"/>
      <c r="AE470" s="102"/>
      <c r="AF470" s="102"/>
      <c r="AG470" s="102"/>
      <c r="AH470" s="102"/>
      <c r="AI470" s="102"/>
      <c r="AJ470" s="102"/>
      <c r="AK470" s="102"/>
      <c r="AL470" s="102"/>
      <c r="AM470" s="102"/>
      <c r="AN470" s="102"/>
      <c r="AO470" s="102"/>
      <c r="AP470" s="102"/>
      <c r="AQ470" s="102"/>
      <c r="AR470" s="102"/>
      <c r="AS470" s="102"/>
      <c r="AT470" s="102"/>
      <c r="AU470" s="102"/>
    </row>
    <row r="471" spans="1:47" s="78" customFormat="1" ht="12.6" customHeight="1" x14ac:dyDescent="0.3">
      <c r="A471" s="102"/>
      <c r="V471" s="102"/>
      <c r="W471" s="102"/>
      <c r="X471" s="102"/>
      <c r="Y471" s="102"/>
      <c r="Z471" s="102"/>
      <c r="AA471" s="102"/>
      <c r="AB471" s="102"/>
      <c r="AC471" s="102"/>
      <c r="AD471" s="102"/>
      <c r="AE471" s="102"/>
      <c r="AF471" s="102"/>
      <c r="AG471" s="102"/>
      <c r="AH471" s="102"/>
      <c r="AI471" s="102"/>
      <c r="AJ471" s="102"/>
      <c r="AK471" s="102"/>
      <c r="AL471" s="102"/>
      <c r="AM471" s="102"/>
      <c r="AN471" s="102"/>
      <c r="AO471" s="102"/>
      <c r="AP471" s="102"/>
      <c r="AQ471" s="102"/>
      <c r="AR471" s="102"/>
      <c r="AS471" s="102"/>
      <c r="AT471" s="102"/>
      <c r="AU471" s="102"/>
    </row>
    <row r="472" spans="1:47" s="78" customFormat="1" ht="12.6" customHeight="1" x14ac:dyDescent="0.3">
      <c r="A472" s="102"/>
      <c r="V472" s="102"/>
      <c r="W472" s="102"/>
      <c r="X472" s="102"/>
      <c r="Y472" s="102"/>
      <c r="Z472" s="102"/>
      <c r="AA472" s="102"/>
      <c r="AB472" s="102"/>
      <c r="AC472" s="102"/>
      <c r="AD472" s="102"/>
      <c r="AE472" s="102"/>
      <c r="AF472" s="102"/>
      <c r="AG472" s="102"/>
      <c r="AH472" s="102"/>
      <c r="AI472" s="102"/>
      <c r="AJ472" s="102"/>
      <c r="AK472" s="102"/>
      <c r="AL472" s="102"/>
      <c r="AM472" s="102"/>
      <c r="AN472" s="102"/>
      <c r="AO472" s="102"/>
      <c r="AP472" s="102"/>
      <c r="AQ472" s="102"/>
      <c r="AR472" s="102"/>
      <c r="AS472" s="102"/>
      <c r="AT472" s="102"/>
      <c r="AU472" s="102"/>
    </row>
    <row r="473" spans="1:47" s="78" customFormat="1" ht="12.6" customHeight="1" x14ac:dyDescent="0.3">
      <c r="A473" s="102"/>
      <c r="V473" s="102"/>
      <c r="W473" s="102"/>
      <c r="X473" s="102"/>
      <c r="Y473" s="102"/>
      <c r="Z473" s="102"/>
      <c r="AA473" s="102"/>
      <c r="AB473" s="102"/>
      <c r="AC473" s="102"/>
      <c r="AD473" s="102"/>
      <c r="AE473" s="102"/>
      <c r="AF473" s="102"/>
      <c r="AG473" s="102"/>
      <c r="AH473" s="102"/>
      <c r="AI473" s="102"/>
      <c r="AJ473" s="102"/>
      <c r="AK473" s="102"/>
      <c r="AL473" s="102"/>
      <c r="AM473" s="102"/>
      <c r="AN473" s="102"/>
      <c r="AO473" s="102"/>
      <c r="AP473" s="102"/>
      <c r="AQ473" s="102"/>
      <c r="AR473" s="102"/>
      <c r="AS473" s="102"/>
      <c r="AT473" s="102"/>
      <c r="AU473" s="102"/>
    </row>
    <row r="474" spans="1:47" s="78" customFormat="1" ht="12.6" customHeight="1" x14ac:dyDescent="0.3">
      <c r="A474" s="102"/>
      <c r="V474" s="102"/>
      <c r="W474" s="102"/>
      <c r="X474" s="102"/>
      <c r="Y474" s="102"/>
      <c r="Z474" s="102"/>
      <c r="AA474" s="102"/>
      <c r="AB474" s="102"/>
      <c r="AC474" s="102"/>
      <c r="AD474" s="102"/>
      <c r="AE474" s="102"/>
      <c r="AF474" s="102"/>
      <c r="AG474" s="102"/>
      <c r="AH474" s="102"/>
      <c r="AI474" s="102"/>
      <c r="AJ474" s="102"/>
      <c r="AK474" s="102"/>
      <c r="AL474" s="102"/>
      <c r="AM474" s="102"/>
      <c r="AN474" s="102"/>
      <c r="AO474" s="102"/>
      <c r="AP474" s="102"/>
      <c r="AQ474" s="102"/>
      <c r="AR474" s="102"/>
      <c r="AS474" s="102"/>
      <c r="AT474" s="102"/>
      <c r="AU474" s="102"/>
    </row>
    <row r="475" spans="1:47" s="78" customFormat="1" ht="12.6" customHeight="1" x14ac:dyDescent="0.3">
      <c r="A475" s="102"/>
      <c r="V475" s="102"/>
      <c r="W475" s="102"/>
      <c r="X475" s="102"/>
      <c r="Y475" s="102"/>
      <c r="Z475" s="102"/>
      <c r="AA475" s="102"/>
      <c r="AB475" s="102"/>
      <c r="AC475" s="102"/>
      <c r="AD475" s="102"/>
      <c r="AE475" s="102"/>
      <c r="AF475" s="102"/>
      <c r="AG475" s="102"/>
      <c r="AH475" s="102"/>
      <c r="AI475" s="102"/>
      <c r="AJ475" s="102"/>
      <c r="AK475" s="102"/>
      <c r="AL475" s="102"/>
      <c r="AM475" s="102"/>
      <c r="AN475" s="102"/>
      <c r="AO475" s="102"/>
      <c r="AP475" s="102"/>
      <c r="AQ475" s="102"/>
      <c r="AR475" s="102"/>
      <c r="AS475" s="102"/>
      <c r="AT475" s="102"/>
      <c r="AU475" s="102"/>
    </row>
    <row r="476" spans="1:47" s="78" customFormat="1" ht="12.6" customHeight="1" x14ac:dyDescent="0.3">
      <c r="A476" s="102"/>
      <c r="V476" s="102"/>
      <c r="W476" s="102"/>
      <c r="X476" s="102"/>
      <c r="Y476" s="102"/>
      <c r="Z476" s="102"/>
      <c r="AA476" s="102"/>
      <c r="AB476" s="102"/>
      <c r="AC476" s="102"/>
      <c r="AD476" s="102"/>
      <c r="AE476" s="102"/>
      <c r="AF476" s="102"/>
      <c r="AG476" s="102"/>
      <c r="AH476" s="102"/>
      <c r="AI476" s="102"/>
      <c r="AJ476" s="102"/>
      <c r="AK476" s="102"/>
      <c r="AL476" s="102"/>
      <c r="AM476" s="102"/>
      <c r="AN476" s="102"/>
      <c r="AO476" s="102"/>
      <c r="AP476" s="102"/>
      <c r="AQ476" s="102"/>
      <c r="AR476" s="102"/>
      <c r="AS476" s="102"/>
      <c r="AT476" s="102"/>
      <c r="AU476" s="102"/>
    </row>
    <row r="477" spans="1:47" s="78" customFormat="1" ht="12.6" customHeight="1" x14ac:dyDescent="0.3">
      <c r="A477" s="102"/>
      <c r="V477" s="102"/>
      <c r="W477" s="102"/>
      <c r="X477" s="102"/>
      <c r="Y477" s="102"/>
      <c r="Z477" s="102"/>
      <c r="AA477" s="102"/>
      <c r="AB477" s="102"/>
      <c r="AC477" s="102"/>
      <c r="AD477" s="102"/>
      <c r="AE477" s="102"/>
      <c r="AF477" s="102"/>
      <c r="AG477" s="102"/>
      <c r="AH477" s="102"/>
      <c r="AI477" s="102"/>
      <c r="AJ477" s="102"/>
      <c r="AK477" s="102"/>
      <c r="AL477" s="102"/>
      <c r="AM477" s="102"/>
      <c r="AN477" s="102"/>
      <c r="AO477" s="102"/>
      <c r="AP477" s="102"/>
      <c r="AQ477" s="102"/>
      <c r="AR477" s="102"/>
      <c r="AS477" s="102"/>
      <c r="AT477" s="102"/>
      <c r="AU477" s="102"/>
    </row>
    <row r="478" spans="1:47" s="78" customFormat="1" ht="12.6" customHeight="1" x14ac:dyDescent="0.3">
      <c r="A478" s="102"/>
      <c r="V478" s="102"/>
      <c r="W478" s="102"/>
      <c r="X478" s="102"/>
      <c r="Y478" s="102"/>
      <c r="Z478" s="102"/>
      <c r="AA478" s="102"/>
      <c r="AB478" s="102"/>
      <c r="AC478" s="102"/>
      <c r="AD478" s="102"/>
      <c r="AE478" s="102"/>
      <c r="AF478" s="102"/>
      <c r="AG478" s="102"/>
      <c r="AH478" s="102"/>
      <c r="AI478" s="102"/>
      <c r="AJ478" s="102"/>
      <c r="AK478" s="102"/>
      <c r="AL478" s="102"/>
      <c r="AM478" s="102"/>
      <c r="AN478" s="102"/>
      <c r="AO478" s="102"/>
      <c r="AP478" s="102"/>
      <c r="AQ478" s="102"/>
      <c r="AR478" s="102"/>
      <c r="AS478" s="102"/>
      <c r="AT478" s="102"/>
      <c r="AU478" s="102"/>
    </row>
    <row r="479" spans="1:47" s="78" customFormat="1" ht="12.6" customHeight="1" x14ac:dyDescent="0.3">
      <c r="A479" s="102"/>
      <c r="V479" s="102"/>
      <c r="W479" s="102"/>
      <c r="X479" s="102"/>
      <c r="Y479" s="102"/>
      <c r="Z479" s="102"/>
      <c r="AA479" s="102"/>
      <c r="AB479" s="102"/>
      <c r="AC479" s="102"/>
      <c r="AD479" s="102"/>
      <c r="AE479" s="102"/>
      <c r="AF479" s="102"/>
      <c r="AG479" s="102"/>
      <c r="AH479" s="102"/>
      <c r="AI479" s="102"/>
      <c r="AJ479" s="102"/>
      <c r="AK479" s="102"/>
      <c r="AL479" s="102"/>
      <c r="AM479" s="102"/>
      <c r="AN479" s="102"/>
      <c r="AO479" s="102"/>
      <c r="AP479" s="102"/>
      <c r="AQ479" s="102"/>
      <c r="AR479" s="102"/>
      <c r="AS479" s="102"/>
      <c r="AT479" s="102"/>
      <c r="AU479" s="102"/>
    </row>
    <row r="480" spans="1:47" s="78" customFormat="1" ht="12.6" customHeight="1" x14ac:dyDescent="0.3">
      <c r="A480" s="102"/>
      <c r="V480" s="102"/>
      <c r="W480" s="102"/>
      <c r="X480" s="102"/>
      <c r="Y480" s="102"/>
      <c r="Z480" s="102"/>
      <c r="AA480" s="102"/>
      <c r="AB480" s="102"/>
      <c r="AC480" s="102"/>
      <c r="AD480" s="102"/>
      <c r="AE480" s="102"/>
      <c r="AF480" s="102"/>
      <c r="AG480" s="102"/>
      <c r="AH480" s="102"/>
      <c r="AI480" s="102"/>
      <c r="AJ480" s="102"/>
      <c r="AK480" s="102"/>
      <c r="AL480" s="102"/>
      <c r="AM480" s="102"/>
      <c r="AN480" s="102"/>
      <c r="AO480" s="102"/>
      <c r="AP480" s="102"/>
      <c r="AQ480" s="102"/>
      <c r="AR480" s="102"/>
      <c r="AS480" s="102"/>
      <c r="AT480" s="102"/>
      <c r="AU480" s="102"/>
    </row>
    <row r="481" spans="1:47" s="78" customFormat="1" ht="12.6" customHeight="1" x14ac:dyDescent="0.3">
      <c r="A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row>
    <row r="482" spans="1:47" s="78" customFormat="1" ht="12.6" customHeight="1" x14ac:dyDescent="0.3">
      <c r="A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row>
    <row r="483" spans="1:47" s="78" customFormat="1" ht="12.6" customHeight="1" x14ac:dyDescent="0.3">
      <c r="A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row>
    <row r="484" spans="1:47" s="78" customFormat="1" ht="12.6" customHeight="1" x14ac:dyDescent="0.3">
      <c r="A484" s="102"/>
      <c r="V484" s="102"/>
      <c r="W484" s="102"/>
      <c r="X484" s="102"/>
      <c r="Y484" s="102"/>
      <c r="Z484" s="102"/>
      <c r="AA484" s="102"/>
      <c r="AB484" s="102"/>
      <c r="AC484" s="102"/>
      <c r="AD484" s="102"/>
      <c r="AE484" s="102"/>
      <c r="AF484" s="102"/>
      <c r="AG484" s="102"/>
      <c r="AH484" s="102"/>
      <c r="AI484" s="102"/>
      <c r="AJ484" s="102"/>
      <c r="AK484" s="102"/>
      <c r="AL484" s="102"/>
      <c r="AM484" s="102"/>
      <c r="AN484" s="102"/>
      <c r="AO484" s="102"/>
      <c r="AP484" s="102"/>
      <c r="AQ484" s="102"/>
      <c r="AR484" s="102"/>
      <c r="AS484" s="102"/>
      <c r="AT484" s="102"/>
      <c r="AU484" s="102"/>
    </row>
    <row r="485" spans="1:47" s="78" customFormat="1" ht="12.6" customHeight="1" x14ac:dyDescent="0.3">
      <c r="A485" s="102"/>
      <c r="V485" s="102"/>
      <c r="W485" s="102"/>
      <c r="X485" s="102"/>
      <c r="Y485" s="102"/>
      <c r="Z485" s="102"/>
      <c r="AA485" s="102"/>
      <c r="AB485" s="102"/>
      <c r="AC485" s="102"/>
      <c r="AD485" s="102"/>
      <c r="AE485" s="102"/>
      <c r="AF485" s="102"/>
      <c r="AG485" s="102"/>
      <c r="AH485" s="102"/>
      <c r="AI485" s="102"/>
      <c r="AJ485" s="102"/>
      <c r="AK485" s="102"/>
      <c r="AL485" s="102"/>
      <c r="AM485" s="102"/>
      <c r="AN485" s="102"/>
      <c r="AO485" s="102"/>
      <c r="AP485" s="102"/>
      <c r="AQ485" s="102"/>
      <c r="AR485" s="102"/>
      <c r="AS485" s="102"/>
      <c r="AT485" s="102"/>
      <c r="AU485" s="102"/>
    </row>
    <row r="486" spans="1:47" s="78" customFormat="1" ht="12.6" customHeight="1" x14ac:dyDescent="0.3">
      <c r="A486" s="102"/>
      <c r="V486" s="102"/>
      <c r="W486" s="102"/>
      <c r="X486" s="102"/>
      <c r="Y486" s="102"/>
      <c r="Z486" s="102"/>
      <c r="AA486" s="102"/>
      <c r="AB486" s="102"/>
      <c r="AC486" s="102"/>
      <c r="AD486" s="102"/>
      <c r="AE486" s="102"/>
      <c r="AF486" s="102"/>
      <c r="AG486" s="102"/>
      <c r="AH486" s="102"/>
      <c r="AI486" s="102"/>
      <c r="AJ486" s="102"/>
      <c r="AK486" s="102"/>
      <c r="AL486" s="102"/>
      <c r="AM486" s="102"/>
      <c r="AN486" s="102"/>
      <c r="AO486" s="102"/>
      <c r="AP486" s="102"/>
      <c r="AQ486" s="102"/>
      <c r="AR486" s="102"/>
      <c r="AS486" s="102"/>
      <c r="AT486" s="102"/>
      <c r="AU486" s="102"/>
    </row>
    <row r="487" spans="1:47" s="78" customFormat="1" ht="12.6" customHeight="1" x14ac:dyDescent="0.3">
      <c r="A487" s="102"/>
      <c r="V487" s="102"/>
      <c r="W487" s="102"/>
      <c r="X487" s="102"/>
      <c r="Y487" s="102"/>
      <c r="Z487" s="102"/>
      <c r="AA487" s="102"/>
      <c r="AB487" s="102"/>
      <c r="AC487" s="102"/>
      <c r="AD487" s="102"/>
      <c r="AE487" s="102"/>
      <c r="AF487" s="102"/>
      <c r="AG487" s="102"/>
      <c r="AH487" s="102"/>
      <c r="AI487" s="102"/>
      <c r="AJ487" s="102"/>
      <c r="AK487" s="102"/>
      <c r="AL487" s="102"/>
      <c r="AM487" s="102"/>
      <c r="AN487" s="102"/>
      <c r="AO487" s="102"/>
      <c r="AP487" s="102"/>
      <c r="AQ487" s="102"/>
      <c r="AR487" s="102"/>
      <c r="AS487" s="102"/>
      <c r="AT487" s="102"/>
      <c r="AU487" s="102"/>
    </row>
    <row r="488" spans="1:47" s="78" customFormat="1" ht="12.6" customHeight="1" x14ac:dyDescent="0.3">
      <c r="A488" s="102"/>
      <c r="V488" s="102"/>
      <c r="W488" s="102"/>
      <c r="X488" s="102"/>
      <c r="Y488" s="102"/>
      <c r="Z488" s="102"/>
      <c r="AA488" s="102"/>
      <c r="AB488" s="102"/>
      <c r="AC488" s="102"/>
      <c r="AD488" s="102"/>
      <c r="AE488" s="102"/>
      <c r="AF488" s="102"/>
      <c r="AG488" s="102"/>
      <c r="AH488" s="102"/>
      <c r="AI488" s="102"/>
      <c r="AJ488" s="102"/>
      <c r="AK488" s="102"/>
      <c r="AL488" s="102"/>
      <c r="AM488" s="102"/>
      <c r="AN488" s="102"/>
      <c r="AO488" s="102"/>
      <c r="AP488" s="102"/>
      <c r="AQ488" s="102"/>
      <c r="AR488" s="102"/>
      <c r="AS488" s="102"/>
      <c r="AT488" s="102"/>
      <c r="AU488" s="102"/>
    </row>
    <row r="489" spans="1:47" s="78" customFormat="1" ht="12.6" customHeight="1" x14ac:dyDescent="0.3">
      <c r="A489" s="102"/>
      <c r="V489" s="102"/>
      <c r="W489" s="102"/>
      <c r="X489" s="102"/>
      <c r="Y489" s="102"/>
      <c r="Z489" s="102"/>
      <c r="AA489" s="102"/>
      <c r="AB489" s="102"/>
      <c r="AC489" s="102"/>
      <c r="AD489" s="102"/>
      <c r="AE489" s="102"/>
      <c r="AF489" s="102"/>
      <c r="AG489" s="102"/>
      <c r="AH489" s="102"/>
      <c r="AI489" s="102"/>
      <c r="AJ489" s="102"/>
      <c r="AK489" s="102"/>
      <c r="AL489" s="102"/>
      <c r="AM489" s="102"/>
      <c r="AN489" s="102"/>
      <c r="AO489" s="102"/>
      <c r="AP489" s="102"/>
      <c r="AQ489" s="102"/>
      <c r="AR489" s="102"/>
      <c r="AS489" s="102"/>
      <c r="AT489" s="102"/>
      <c r="AU489" s="102"/>
    </row>
    <row r="490" spans="1:47" s="78" customFormat="1" ht="12.6" customHeight="1" x14ac:dyDescent="0.3">
      <c r="A490" s="102"/>
      <c r="V490" s="102"/>
      <c r="W490" s="102"/>
      <c r="X490" s="102"/>
      <c r="Y490" s="102"/>
      <c r="Z490" s="102"/>
      <c r="AA490" s="102"/>
      <c r="AB490" s="102"/>
      <c r="AC490" s="102"/>
      <c r="AD490" s="102"/>
      <c r="AE490" s="102"/>
      <c r="AF490" s="102"/>
      <c r="AG490" s="102"/>
      <c r="AH490" s="102"/>
      <c r="AI490" s="102"/>
      <c r="AJ490" s="102"/>
      <c r="AK490" s="102"/>
      <c r="AL490" s="102"/>
      <c r="AM490" s="102"/>
      <c r="AN490" s="102"/>
      <c r="AO490" s="102"/>
      <c r="AP490" s="102"/>
      <c r="AQ490" s="102"/>
      <c r="AR490" s="102"/>
      <c r="AS490" s="102"/>
      <c r="AT490" s="102"/>
      <c r="AU490" s="102"/>
    </row>
    <row r="491" spans="1:47" s="78" customFormat="1" ht="12.6" customHeight="1" x14ac:dyDescent="0.3">
      <c r="A491" s="102"/>
      <c r="V491" s="102"/>
      <c r="W491" s="102"/>
      <c r="X491" s="102"/>
      <c r="Y491" s="102"/>
      <c r="Z491" s="102"/>
      <c r="AA491" s="102"/>
      <c r="AB491" s="102"/>
      <c r="AC491" s="102"/>
      <c r="AD491" s="102"/>
      <c r="AE491" s="102"/>
      <c r="AF491" s="102"/>
      <c r="AG491" s="102"/>
      <c r="AH491" s="102"/>
      <c r="AI491" s="102"/>
      <c r="AJ491" s="102"/>
      <c r="AK491" s="102"/>
      <c r="AL491" s="102"/>
      <c r="AM491" s="102"/>
      <c r="AN491" s="102"/>
      <c r="AO491" s="102"/>
      <c r="AP491" s="102"/>
      <c r="AQ491" s="102"/>
      <c r="AR491" s="102"/>
      <c r="AS491" s="102"/>
      <c r="AT491" s="102"/>
      <c r="AU491" s="102"/>
    </row>
    <row r="492" spans="1:47" s="78" customFormat="1" ht="12.6" customHeight="1" x14ac:dyDescent="0.3">
      <c r="A492" s="102"/>
      <c r="V492" s="102"/>
      <c r="W492" s="102"/>
      <c r="X492" s="102"/>
      <c r="Y492" s="102"/>
      <c r="Z492" s="102"/>
      <c r="AA492" s="102"/>
      <c r="AB492" s="102"/>
      <c r="AC492" s="102"/>
      <c r="AD492" s="102"/>
      <c r="AE492" s="102"/>
      <c r="AF492" s="102"/>
      <c r="AG492" s="102"/>
      <c r="AH492" s="102"/>
      <c r="AI492" s="102"/>
      <c r="AJ492" s="102"/>
      <c r="AK492" s="102"/>
      <c r="AL492" s="102"/>
      <c r="AM492" s="102"/>
      <c r="AN492" s="102"/>
      <c r="AO492" s="102"/>
      <c r="AP492" s="102"/>
      <c r="AQ492" s="102"/>
      <c r="AR492" s="102"/>
      <c r="AS492" s="102"/>
      <c r="AT492" s="102"/>
      <c r="AU492" s="102"/>
    </row>
    <row r="493" spans="1:47" s="78" customFormat="1" ht="12.6" customHeight="1" x14ac:dyDescent="0.3">
      <c r="A493" s="102"/>
      <c r="V493" s="102"/>
      <c r="W493" s="102"/>
      <c r="X493" s="102"/>
      <c r="Y493" s="102"/>
      <c r="Z493" s="102"/>
      <c r="AA493" s="102"/>
      <c r="AB493" s="102"/>
      <c r="AC493" s="102"/>
      <c r="AD493" s="102"/>
      <c r="AE493" s="102"/>
      <c r="AF493" s="102"/>
      <c r="AG493" s="102"/>
      <c r="AH493" s="102"/>
      <c r="AI493" s="102"/>
      <c r="AJ493" s="102"/>
      <c r="AK493" s="102"/>
      <c r="AL493" s="102"/>
      <c r="AM493" s="102"/>
      <c r="AN493" s="102"/>
      <c r="AO493" s="102"/>
      <c r="AP493" s="102"/>
      <c r="AQ493" s="102"/>
      <c r="AR493" s="102"/>
      <c r="AS493" s="102"/>
      <c r="AT493" s="102"/>
      <c r="AU493" s="102"/>
    </row>
    <row r="494" spans="1:47" s="78" customFormat="1" ht="12.6" customHeight="1" x14ac:dyDescent="0.3">
      <c r="A494" s="102"/>
      <c r="V494" s="102"/>
      <c r="W494" s="102"/>
      <c r="X494" s="102"/>
      <c r="Y494" s="102"/>
      <c r="Z494" s="102"/>
      <c r="AA494" s="102"/>
      <c r="AB494" s="102"/>
      <c r="AC494" s="102"/>
      <c r="AD494" s="102"/>
      <c r="AE494" s="102"/>
      <c r="AF494" s="102"/>
      <c r="AG494" s="102"/>
      <c r="AH494" s="102"/>
      <c r="AI494" s="102"/>
      <c r="AJ494" s="102"/>
      <c r="AK494" s="102"/>
      <c r="AL494" s="102"/>
      <c r="AM494" s="102"/>
      <c r="AN494" s="102"/>
      <c r="AO494" s="102"/>
      <c r="AP494" s="102"/>
      <c r="AQ494" s="102"/>
      <c r="AR494" s="102"/>
      <c r="AS494" s="102"/>
      <c r="AT494" s="102"/>
      <c r="AU494" s="102"/>
    </row>
    <row r="495" spans="1:47" s="78" customFormat="1" ht="12.6" customHeight="1" x14ac:dyDescent="0.3">
      <c r="A495" s="102"/>
      <c r="V495" s="102"/>
      <c r="W495" s="102"/>
      <c r="X495" s="102"/>
      <c r="Y495" s="102"/>
      <c r="Z495" s="102"/>
      <c r="AA495" s="102"/>
      <c r="AB495" s="102"/>
      <c r="AC495" s="102"/>
      <c r="AD495" s="102"/>
      <c r="AE495" s="102"/>
      <c r="AF495" s="102"/>
      <c r="AG495" s="102"/>
      <c r="AH495" s="102"/>
      <c r="AI495" s="102"/>
      <c r="AJ495" s="102"/>
      <c r="AK495" s="102"/>
      <c r="AL495" s="102"/>
      <c r="AM495" s="102"/>
      <c r="AN495" s="102"/>
      <c r="AO495" s="102"/>
      <c r="AP495" s="102"/>
      <c r="AQ495" s="102"/>
      <c r="AR495" s="102"/>
      <c r="AS495" s="102"/>
      <c r="AT495" s="102"/>
      <c r="AU495" s="102"/>
    </row>
    <row r="496" spans="1:47" s="78" customFormat="1" ht="12.6" customHeight="1" x14ac:dyDescent="0.3">
      <c r="A496" s="102"/>
      <c r="V496" s="102"/>
      <c r="W496" s="102"/>
      <c r="X496" s="102"/>
      <c r="Y496" s="102"/>
      <c r="Z496" s="102"/>
      <c r="AA496" s="102"/>
      <c r="AB496" s="102"/>
      <c r="AC496" s="102"/>
      <c r="AD496" s="102"/>
      <c r="AE496" s="102"/>
      <c r="AF496" s="102"/>
      <c r="AG496" s="102"/>
      <c r="AH496" s="102"/>
      <c r="AI496" s="102"/>
      <c r="AJ496" s="102"/>
      <c r="AK496" s="102"/>
      <c r="AL496" s="102"/>
      <c r="AM496" s="102"/>
      <c r="AN496" s="102"/>
      <c r="AO496" s="102"/>
      <c r="AP496" s="102"/>
      <c r="AQ496" s="102"/>
      <c r="AR496" s="102"/>
      <c r="AS496" s="102"/>
      <c r="AT496" s="102"/>
      <c r="AU496" s="102"/>
    </row>
    <row r="497" spans="1:47" s="78" customFormat="1" ht="12.6" customHeight="1" x14ac:dyDescent="0.3">
      <c r="A497" s="102"/>
      <c r="V497" s="102"/>
      <c r="W497" s="102"/>
      <c r="X497" s="102"/>
      <c r="Y497" s="102"/>
      <c r="Z497" s="102"/>
      <c r="AA497" s="102"/>
      <c r="AB497" s="102"/>
      <c r="AC497" s="102"/>
      <c r="AD497" s="102"/>
      <c r="AE497" s="102"/>
      <c r="AF497" s="102"/>
      <c r="AG497" s="102"/>
      <c r="AH497" s="102"/>
      <c r="AI497" s="102"/>
      <c r="AJ497" s="102"/>
      <c r="AK497" s="102"/>
      <c r="AL497" s="102"/>
      <c r="AM497" s="102"/>
      <c r="AN497" s="102"/>
      <c r="AO497" s="102"/>
      <c r="AP497" s="102"/>
      <c r="AQ497" s="102"/>
      <c r="AR497" s="102"/>
      <c r="AS497" s="102"/>
      <c r="AT497" s="102"/>
      <c r="AU497" s="102"/>
    </row>
    <row r="498" spans="1:47" s="78" customFormat="1" ht="12.6" customHeight="1" x14ac:dyDescent="0.3">
      <c r="A498" s="102"/>
      <c r="V498" s="102"/>
      <c r="W498" s="102"/>
      <c r="X498" s="102"/>
      <c r="Y498" s="102"/>
      <c r="Z498" s="102"/>
      <c r="AA498" s="102"/>
      <c r="AB498" s="102"/>
      <c r="AC498" s="102"/>
      <c r="AD498" s="102"/>
      <c r="AE498" s="102"/>
      <c r="AF498" s="102"/>
      <c r="AG498" s="102"/>
      <c r="AH498" s="102"/>
      <c r="AI498" s="102"/>
      <c r="AJ498" s="102"/>
      <c r="AK498" s="102"/>
      <c r="AL498" s="102"/>
      <c r="AM498" s="102"/>
      <c r="AN498" s="102"/>
      <c r="AO498" s="102"/>
      <c r="AP498" s="102"/>
      <c r="AQ498" s="102"/>
      <c r="AR498" s="102"/>
      <c r="AS498" s="102"/>
      <c r="AT498" s="102"/>
      <c r="AU498" s="102"/>
    </row>
    <row r="499" spans="1:47" s="78" customFormat="1" ht="12.6" customHeight="1" x14ac:dyDescent="0.3">
      <c r="A499" s="102"/>
      <c r="V499" s="102"/>
      <c r="W499" s="102"/>
      <c r="X499" s="102"/>
      <c r="Y499" s="102"/>
      <c r="Z499" s="102"/>
      <c r="AA499" s="102"/>
      <c r="AB499" s="102"/>
      <c r="AC499" s="102"/>
      <c r="AD499" s="102"/>
      <c r="AE499" s="102"/>
      <c r="AF499" s="102"/>
      <c r="AG499" s="102"/>
      <c r="AH499" s="102"/>
      <c r="AI499" s="102"/>
      <c r="AJ499" s="102"/>
      <c r="AK499" s="102"/>
      <c r="AL499" s="102"/>
      <c r="AM499" s="102"/>
      <c r="AN499" s="102"/>
      <c r="AO499" s="102"/>
      <c r="AP499" s="102"/>
      <c r="AQ499" s="102"/>
      <c r="AR499" s="102"/>
      <c r="AS499" s="102"/>
      <c r="AT499" s="102"/>
      <c r="AU499" s="102"/>
    </row>
    <row r="500" spans="1:47" s="78" customFormat="1" ht="12.6" customHeight="1" x14ac:dyDescent="0.3">
      <c r="A500" s="102"/>
      <c r="V500" s="102"/>
      <c r="W500" s="102"/>
      <c r="X500" s="102"/>
      <c r="Y500" s="102"/>
      <c r="Z500" s="102"/>
      <c r="AA500" s="102"/>
      <c r="AB500" s="102"/>
      <c r="AC500" s="102"/>
      <c r="AD500" s="102"/>
      <c r="AE500" s="102"/>
      <c r="AF500" s="102"/>
      <c r="AG500" s="102"/>
      <c r="AH500" s="102"/>
      <c r="AI500" s="102"/>
      <c r="AJ500" s="102"/>
      <c r="AK500" s="102"/>
      <c r="AL500" s="102"/>
      <c r="AM500" s="102"/>
      <c r="AN500" s="102"/>
      <c r="AO500" s="102"/>
      <c r="AP500" s="102"/>
      <c r="AQ500" s="102"/>
      <c r="AR500" s="102"/>
      <c r="AS500" s="102"/>
      <c r="AT500" s="102"/>
      <c r="AU500" s="102"/>
    </row>
    <row r="501" spans="1:47" s="78" customFormat="1" ht="12.6" customHeight="1" x14ac:dyDescent="0.3">
      <c r="A501" s="102"/>
      <c r="V501" s="102"/>
      <c r="W501" s="102"/>
      <c r="X501" s="102"/>
      <c r="Y501" s="102"/>
      <c r="Z501" s="102"/>
      <c r="AA501" s="102"/>
      <c r="AB501" s="102"/>
      <c r="AC501" s="102"/>
      <c r="AD501" s="102"/>
      <c r="AE501" s="102"/>
      <c r="AF501" s="102"/>
      <c r="AG501" s="102"/>
      <c r="AH501" s="102"/>
      <c r="AI501" s="102"/>
      <c r="AJ501" s="102"/>
      <c r="AK501" s="102"/>
      <c r="AL501" s="102"/>
      <c r="AM501" s="102"/>
      <c r="AN501" s="102"/>
      <c r="AO501" s="102"/>
      <c r="AP501" s="102"/>
      <c r="AQ501" s="102"/>
      <c r="AR501" s="102"/>
      <c r="AS501" s="102"/>
      <c r="AT501" s="102"/>
      <c r="AU501" s="102"/>
    </row>
    <row r="502" spans="1:47" s="78" customFormat="1" ht="12.6" customHeight="1" x14ac:dyDescent="0.3">
      <c r="A502" s="102"/>
      <c r="V502" s="102"/>
      <c r="W502" s="102"/>
      <c r="X502" s="102"/>
      <c r="Y502" s="102"/>
      <c r="Z502" s="102"/>
      <c r="AA502" s="102"/>
      <c r="AB502" s="102"/>
      <c r="AC502" s="102"/>
      <c r="AD502" s="102"/>
      <c r="AE502" s="102"/>
      <c r="AF502" s="102"/>
      <c r="AG502" s="102"/>
      <c r="AH502" s="102"/>
      <c r="AI502" s="102"/>
      <c r="AJ502" s="102"/>
      <c r="AK502" s="102"/>
      <c r="AL502" s="102"/>
      <c r="AM502" s="102"/>
      <c r="AN502" s="102"/>
      <c r="AO502" s="102"/>
      <c r="AP502" s="102"/>
      <c r="AQ502" s="102"/>
      <c r="AR502" s="102"/>
      <c r="AS502" s="102"/>
      <c r="AT502" s="102"/>
      <c r="AU502" s="102"/>
    </row>
    <row r="503" spans="1:47" s="78" customFormat="1" ht="12.6" customHeight="1" x14ac:dyDescent="0.3">
      <c r="A503" s="102"/>
      <c r="V503" s="102"/>
      <c r="W503" s="102"/>
      <c r="X503" s="102"/>
      <c r="Y503" s="102"/>
      <c r="Z503" s="102"/>
      <c r="AA503" s="102"/>
      <c r="AB503" s="102"/>
      <c r="AC503" s="102"/>
      <c r="AD503" s="102"/>
      <c r="AE503" s="102"/>
      <c r="AF503" s="102"/>
      <c r="AG503" s="102"/>
      <c r="AH503" s="102"/>
      <c r="AI503" s="102"/>
      <c r="AJ503" s="102"/>
      <c r="AK503" s="102"/>
      <c r="AL503" s="102"/>
      <c r="AM503" s="102"/>
      <c r="AN503" s="102"/>
      <c r="AO503" s="102"/>
      <c r="AP503" s="102"/>
      <c r="AQ503" s="102"/>
      <c r="AR503" s="102"/>
      <c r="AS503" s="102"/>
      <c r="AT503" s="102"/>
      <c r="AU503" s="102"/>
    </row>
    <row r="504" spans="1:47" s="78" customFormat="1" ht="12.6" customHeight="1" x14ac:dyDescent="0.3">
      <c r="A504" s="102"/>
      <c r="V504" s="102"/>
      <c r="W504" s="102"/>
      <c r="X504" s="102"/>
      <c r="Y504" s="102"/>
      <c r="Z504" s="102"/>
      <c r="AA504" s="102"/>
      <c r="AB504" s="102"/>
      <c r="AC504" s="102"/>
      <c r="AD504" s="102"/>
      <c r="AE504" s="102"/>
      <c r="AF504" s="102"/>
      <c r="AG504" s="102"/>
      <c r="AH504" s="102"/>
      <c r="AI504" s="102"/>
      <c r="AJ504" s="102"/>
      <c r="AK504" s="102"/>
      <c r="AL504" s="102"/>
      <c r="AM504" s="102"/>
      <c r="AN504" s="102"/>
      <c r="AO504" s="102"/>
      <c r="AP504" s="102"/>
      <c r="AQ504" s="102"/>
      <c r="AR504" s="102"/>
      <c r="AS504" s="102"/>
      <c r="AT504" s="102"/>
      <c r="AU504" s="102"/>
    </row>
    <row r="505" spans="1:47" s="78" customFormat="1" ht="12.6" customHeight="1" x14ac:dyDescent="0.3">
      <c r="A505" s="102"/>
      <c r="V505" s="102"/>
      <c r="W505" s="102"/>
      <c r="X505" s="102"/>
      <c r="Y505" s="102"/>
      <c r="Z505" s="102"/>
      <c r="AA505" s="102"/>
      <c r="AB505" s="102"/>
      <c r="AC505" s="102"/>
      <c r="AD505" s="102"/>
      <c r="AE505" s="102"/>
      <c r="AF505" s="102"/>
      <c r="AG505" s="102"/>
      <c r="AH505" s="102"/>
      <c r="AI505" s="102"/>
      <c r="AJ505" s="102"/>
      <c r="AK505" s="102"/>
      <c r="AL505" s="102"/>
      <c r="AM505" s="102"/>
      <c r="AN505" s="102"/>
      <c r="AO505" s="102"/>
      <c r="AP505" s="102"/>
      <c r="AQ505" s="102"/>
      <c r="AR505" s="102"/>
      <c r="AS505" s="102"/>
      <c r="AT505" s="102"/>
      <c r="AU505" s="102"/>
    </row>
    <row r="506" spans="1:47" s="78" customFormat="1" ht="12.6" customHeight="1" x14ac:dyDescent="0.3">
      <c r="A506" s="102"/>
      <c r="V506" s="102"/>
      <c r="W506" s="102"/>
      <c r="X506" s="102"/>
      <c r="Y506" s="102"/>
      <c r="Z506" s="102"/>
      <c r="AA506" s="102"/>
      <c r="AB506" s="102"/>
      <c r="AC506" s="102"/>
      <c r="AD506" s="102"/>
      <c r="AE506" s="102"/>
      <c r="AF506" s="102"/>
      <c r="AG506" s="102"/>
      <c r="AH506" s="102"/>
      <c r="AI506" s="102"/>
      <c r="AJ506" s="102"/>
      <c r="AK506" s="102"/>
      <c r="AL506" s="102"/>
      <c r="AM506" s="102"/>
      <c r="AN506" s="102"/>
      <c r="AO506" s="102"/>
      <c r="AP506" s="102"/>
      <c r="AQ506" s="102"/>
      <c r="AR506" s="102"/>
      <c r="AS506" s="102"/>
      <c r="AT506" s="102"/>
      <c r="AU506" s="102"/>
    </row>
    <row r="507" spans="1:47" s="78" customFormat="1" ht="12.6" customHeight="1" x14ac:dyDescent="0.3">
      <c r="A507" s="102"/>
      <c r="V507" s="102"/>
      <c r="W507" s="102"/>
      <c r="X507" s="102"/>
      <c r="Y507" s="102"/>
      <c r="Z507" s="102"/>
      <c r="AA507" s="102"/>
      <c r="AB507" s="102"/>
      <c r="AC507" s="102"/>
      <c r="AD507" s="102"/>
      <c r="AE507" s="102"/>
      <c r="AF507" s="102"/>
      <c r="AG507" s="102"/>
      <c r="AH507" s="102"/>
      <c r="AI507" s="102"/>
      <c r="AJ507" s="102"/>
      <c r="AK507" s="102"/>
      <c r="AL507" s="102"/>
      <c r="AM507" s="102"/>
      <c r="AN507" s="102"/>
      <c r="AO507" s="102"/>
      <c r="AP507" s="102"/>
      <c r="AQ507" s="102"/>
      <c r="AR507" s="102"/>
      <c r="AS507" s="102"/>
      <c r="AT507" s="102"/>
      <c r="AU507" s="102"/>
    </row>
    <row r="508" spans="1:47" s="78" customFormat="1" ht="12.6" customHeight="1" x14ac:dyDescent="0.3">
      <c r="A508" s="102"/>
      <c r="V508" s="102"/>
      <c r="W508" s="102"/>
      <c r="X508" s="102"/>
      <c r="Y508" s="102"/>
      <c r="Z508" s="102"/>
      <c r="AA508" s="102"/>
      <c r="AB508" s="102"/>
      <c r="AC508" s="102"/>
      <c r="AD508" s="102"/>
      <c r="AE508" s="102"/>
      <c r="AF508" s="102"/>
      <c r="AG508" s="102"/>
      <c r="AH508" s="102"/>
      <c r="AI508" s="102"/>
      <c r="AJ508" s="102"/>
      <c r="AK508" s="102"/>
      <c r="AL508" s="102"/>
      <c r="AM508" s="102"/>
      <c r="AN508" s="102"/>
      <c r="AO508" s="102"/>
      <c r="AP508" s="102"/>
      <c r="AQ508" s="102"/>
      <c r="AR508" s="102"/>
      <c r="AS508" s="102"/>
      <c r="AT508" s="102"/>
      <c r="AU508" s="102"/>
    </row>
    <row r="509" spans="1:47" s="78" customFormat="1" ht="12.6" customHeight="1" x14ac:dyDescent="0.3">
      <c r="A509" s="102"/>
      <c r="V509" s="102"/>
      <c r="W509" s="102"/>
      <c r="X509" s="102"/>
      <c r="Y509" s="102"/>
      <c r="Z509" s="102"/>
      <c r="AA509" s="102"/>
      <c r="AB509" s="102"/>
      <c r="AC509" s="102"/>
      <c r="AD509" s="102"/>
      <c r="AE509" s="102"/>
      <c r="AF509" s="102"/>
      <c r="AG509" s="102"/>
      <c r="AH509" s="102"/>
      <c r="AI509" s="102"/>
      <c r="AJ509" s="102"/>
      <c r="AK509" s="102"/>
      <c r="AL509" s="102"/>
      <c r="AM509" s="102"/>
      <c r="AN509" s="102"/>
      <c r="AO509" s="102"/>
      <c r="AP509" s="102"/>
      <c r="AQ509" s="102"/>
      <c r="AR509" s="102"/>
      <c r="AS509" s="102"/>
      <c r="AT509" s="102"/>
      <c r="AU509" s="102"/>
    </row>
    <row r="510" spans="1:47" s="78" customFormat="1" ht="12.6" customHeight="1" x14ac:dyDescent="0.3">
      <c r="A510" s="102"/>
      <c r="V510" s="102"/>
      <c r="W510" s="102"/>
      <c r="X510" s="102"/>
      <c r="Y510" s="102"/>
      <c r="Z510" s="102"/>
      <c r="AA510" s="102"/>
      <c r="AB510" s="102"/>
      <c r="AC510" s="102"/>
      <c r="AD510" s="102"/>
      <c r="AE510" s="102"/>
      <c r="AF510" s="102"/>
      <c r="AG510" s="102"/>
      <c r="AH510" s="102"/>
      <c r="AI510" s="102"/>
      <c r="AJ510" s="102"/>
      <c r="AK510" s="102"/>
      <c r="AL510" s="102"/>
      <c r="AM510" s="102"/>
      <c r="AN510" s="102"/>
      <c r="AO510" s="102"/>
      <c r="AP510" s="102"/>
      <c r="AQ510" s="102"/>
      <c r="AR510" s="102"/>
      <c r="AS510" s="102"/>
      <c r="AT510" s="102"/>
      <c r="AU510" s="102"/>
    </row>
    <row r="511" spans="1:47" s="78" customFormat="1" ht="12.6" customHeight="1" x14ac:dyDescent="0.3">
      <c r="A511" s="102"/>
      <c r="V511" s="102"/>
      <c r="W511" s="102"/>
      <c r="X511" s="102"/>
      <c r="Y511" s="102"/>
      <c r="Z511" s="102"/>
      <c r="AA511" s="102"/>
      <c r="AB511" s="102"/>
      <c r="AC511" s="102"/>
      <c r="AD511" s="102"/>
      <c r="AE511" s="102"/>
      <c r="AF511" s="102"/>
      <c r="AG511" s="102"/>
      <c r="AH511" s="102"/>
      <c r="AI511" s="102"/>
      <c r="AJ511" s="102"/>
      <c r="AK511" s="102"/>
      <c r="AL511" s="102"/>
      <c r="AM511" s="102"/>
      <c r="AN511" s="102"/>
      <c r="AO511" s="102"/>
      <c r="AP511" s="102"/>
      <c r="AQ511" s="102"/>
      <c r="AR511" s="102"/>
      <c r="AS511" s="102"/>
      <c r="AT511" s="102"/>
      <c r="AU511" s="102"/>
    </row>
    <row r="512" spans="1:47" s="78" customFormat="1" ht="12.6" customHeight="1" x14ac:dyDescent="0.3">
      <c r="A512" s="102"/>
      <c r="V512" s="102"/>
      <c r="W512" s="102"/>
      <c r="X512" s="102"/>
      <c r="Y512" s="102"/>
      <c r="Z512" s="102"/>
      <c r="AA512" s="102"/>
      <c r="AB512" s="102"/>
      <c r="AC512" s="102"/>
      <c r="AD512" s="102"/>
      <c r="AE512" s="102"/>
      <c r="AF512" s="102"/>
      <c r="AG512" s="102"/>
      <c r="AH512" s="102"/>
      <c r="AI512" s="102"/>
      <c r="AJ512" s="102"/>
      <c r="AK512" s="102"/>
      <c r="AL512" s="102"/>
      <c r="AM512" s="102"/>
      <c r="AN512" s="102"/>
      <c r="AO512" s="102"/>
      <c r="AP512" s="102"/>
      <c r="AQ512" s="102"/>
      <c r="AR512" s="102"/>
      <c r="AS512" s="102"/>
      <c r="AT512" s="102"/>
      <c r="AU512" s="102"/>
    </row>
    <row r="513" spans="1:47" s="78" customFormat="1" ht="12.6" customHeight="1" x14ac:dyDescent="0.3">
      <c r="A513" s="102"/>
      <c r="V513" s="102"/>
      <c r="W513" s="102"/>
      <c r="X513" s="102"/>
      <c r="Y513" s="102"/>
      <c r="Z513" s="102"/>
      <c r="AA513" s="102"/>
      <c r="AB513" s="102"/>
      <c r="AC513" s="102"/>
      <c r="AD513" s="102"/>
      <c r="AE513" s="102"/>
      <c r="AF513" s="102"/>
      <c r="AG513" s="102"/>
      <c r="AH513" s="102"/>
      <c r="AI513" s="102"/>
      <c r="AJ513" s="102"/>
      <c r="AK513" s="102"/>
      <c r="AL513" s="102"/>
      <c r="AM513" s="102"/>
      <c r="AN513" s="102"/>
      <c r="AO513" s="102"/>
      <c r="AP513" s="102"/>
      <c r="AQ513" s="102"/>
      <c r="AR513" s="102"/>
      <c r="AS513" s="102"/>
      <c r="AT513" s="102"/>
      <c r="AU513" s="102"/>
    </row>
    <row r="514" spans="1:47" s="78" customFormat="1" ht="12.6" customHeight="1" x14ac:dyDescent="0.3">
      <c r="A514" s="102"/>
      <c r="V514" s="102"/>
      <c r="W514" s="102"/>
      <c r="X514" s="102"/>
      <c r="Y514" s="102"/>
      <c r="Z514" s="102"/>
      <c r="AA514" s="102"/>
      <c r="AB514" s="102"/>
      <c r="AC514" s="102"/>
      <c r="AD514" s="102"/>
      <c r="AE514" s="102"/>
      <c r="AF514" s="102"/>
      <c r="AG514" s="102"/>
      <c r="AH514" s="102"/>
      <c r="AI514" s="102"/>
      <c r="AJ514" s="102"/>
      <c r="AK514" s="102"/>
      <c r="AL514" s="102"/>
      <c r="AM514" s="102"/>
      <c r="AN514" s="102"/>
      <c r="AO514" s="102"/>
      <c r="AP514" s="102"/>
      <c r="AQ514" s="102"/>
      <c r="AR514" s="102"/>
      <c r="AS514" s="102"/>
      <c r="AT514" s="102"/>
      <c r="AU514" s="102"/>
    </row>
    <row r="515" spans="1:47" s="78" customFormat="1" ht="12.6" customHeight="1" x14ac:dyDescent="0.3">
      <c r="A515" s="102"/>
      <c r="V515" s="102"/>
      <c r="W515" s="102"/>
      <c r="X515" s="102"/>
      <c r="Y515" s="102"/>
      <c r="Z515" s="102"/>
      <c r="AA515" s="102"/>
      <c r="AB515" s="102"/>
      <c r="AC515" s="102"/>
      <c r="AD515" s="102"/>
      <c r="AE515" s="102"/>
      <c r="AF515" s="102"/>
      <c r="AG515" s="102"/>
      <c r="AH515" s="102"/>
      <c r="AI515" s="102"/>
      <c r="AJ515" s="102"/>
      <c r="AK515" s="102"/>
      <c r="AL515" s="102"/>
      <c r="AM515" s="102"/>
      <c r="AN515" s="102"/>
      <c r="AO515" s="102"/>
      <c r="AP515" s="102"/>
      <c r="AQ515" s="102"/>
      <c r="AR515" s="102"/>
      <c r="AS515" s="102"/>
      <c r="AT515" s="102"/>
      <c r="AU515" s="102"/>
    </row>
    <row r="516" spans="1:47" s="78" customFormat="1" ht="12.6" customHeight="1" x14ac:dyDescent="0.3">
      <c r="A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row>
    <row r="517" spans="1:47" s="78" customFormat="1" ht="12.6" customHeight="1" x14ac:dyDescent="0.3">
      <c r="A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row>
    <row r="518" spans="1:47" s="78" customFormat="1" ht="12.6" customHeight="1" x14ac:dyDescent="0.3">
      <c r="A518" s="102"/>
      <c r="V518" s="102"/>
      <c r="W518" s="102"/>
      <c r="X518" s="102"/>
      <c r="Y518" s="102"/>
      <c r="Z518" s="102"/>
      <c r="AA518" s="102"/>
      <c r="AB518" s="102"/>
      <c r="AC518" s="102"/>
      <c r="AD518" s="102"/>
      <c r="AE518" s="102"/>
      <c r="AF518" s="102"/>
      <c r="AG518" s="102"/>
      <c r="AH518" s="102"/>
      <c r="AI518" s="102"/>
      <c r="AJ518" s="102"/>
      <c r="AK518" s="102"/>
      <c r="AL518" s="102"/>
      <c r="AM518" s="102"/>
      <c r="AN518" s="102"/>
      <c r="AO518" s="102"/>
      <c r="AP518" s="102"/>
      <c r="AQ518" s="102"/>
      <c r="AR518" s="102"/>
      <c r="AS518" s="102"/>
      <c r="AT518" s="102"/>
      <c r="AU518" s="102"/>
    </row>
    <row r="519" spans="1:47" s="78" customFormat="1" ht="12.6" customHeight="1" x14ac:dyDescent="0.3">
      <c r="A519" s="102"/>
      <c r="V519" s="102"/>
      <c r="W519" s="102"/>
      <c r="X519" s="102"/>
      <c r="Y519" s="102"/>
      <c r="Z519" s="102"/>
      <c r="AA519" s="102"/>
      <c r="AB519" s="102"/>
      <c r="AC519" s="102"/>
      <c r="AD519" s="102"/>
      <c r="AE519" s="102"/>
      <c r="AF519" s="102"/>
      <c r="AG519" s="102"/>
      <c r="AH519" s="102"/>
      <c r="AI519" s="102"/>
      <c r="AJ519" s="102"/>
      <c r="AK519" s="102"/>
      <c r="AL519" s="102"/>
      <c r="AM519" s="102"/>
      <c r="AN519" s="102"/>
      <c r="AO519" s="102"/>
      <c r="AP519" s="102"/>
      <c r="AQ519" s="102"/>
      <c r="AR519" s="102"/>
      <c r="AS519" s="102"/>
      <c r="AT519" s="102"/>
      <c r="AU519" s="102"/>
    </row>
    <row r="520" spans="1:47" s="78" customFormat="1" ht="12.6" customHeight="1" x14ac:dyDescent="0.3">
      <c r="A520" s="102"/>
      <c r="V520" s="102"/>
      <c r="W520" s="102"/>
      <c r="X520" s="102"/>
      <c r="Y520" s="102"/>
      <c r="Z520" s="102"/>
      <c r="AA520" s="102"/>
      <c r="AB520" s="102"/>
      <c r="AC520" s="102"/>
      <c r="AD520" s="102"/>
      <c r="AE520" s="102"/>
      <c r="AF520" s="102"/>
      <c r="AG520" s="102"/>
      <c r="AH520" s="102"/>
      <c r="AI520" s="102"/>
      <c r="AJ520" s="102"/>
      <c r="AK520" s="102"/>
      <c r="AL520" s="102"/>
      <c r="AM520" s="102"/>
      <c r="AN520" s="102"/>
      <c r="AO520" s="102"/>
      <c r="AP520" s="102"/>
      <c r="AQ520" s="102"/>
      <c r="AR520" s="102"/>
      <c r="AS520" s="102"/>
      <c r="AT520" s="102"/>
      <c r="AU520" s="102"/>
    </row>
    <row r="521" spans="1:47" s="78" customFormat="1" ht="12.6" customHeight="1" x14ac:dyDescent="0.3">
      <c r="A521" s="102"/>
      <c r="V521" s="102"/>
      <c r="W521" s="102"/>
      <c r="X521" s="102"/>
      <c r="Y521" s="102"/>
      <c r="Z521" s="102"/>
      <c r="AA521" s="102"/>
      <c r="AB521" s="102"/>
      <c r="AC521" s="102"/>
      <c r="AD521" s="102"/>
      <c r="AE521" s="102"/>
      <c r="AF521" s="102"/>
      <c r="AG521" s="102"/>
      <c r="AH521" s="102"/>
      <c r="AI521" s="102"/>
      <c r="AJ521" s="102"/>
      <c r="AK521" s="102"/>
      <c r="AL521" s="102"/>
      <c r="AM521" s="102"/>
      <c r="AN521" s="102"/>
      <c r="AO521" s="102"/>
      <c r="AP521" s="102"/>
      <c r="AQ521" s="102"/>
      <c r="AR521" s="102"/>
      <c r="AS521" s="102"/>
      <c r="AT521" s="102"/>
      <c r="AU521" s="102"/>
    </row>
    <row r="522" spans="1:47" s="78" customFormat="1" ht="12.6" customHeight="1" x14ac:dyDescent="0.3">
      <c r="A522" s="102"/>
      <c r="V522" s="102"/>
      <c r="W522" s="102"/>
      <c r="X522" s="102"/>
      <c r="Y522" s="102"/>
      <c r="Z522" s="102"/>
      <c r="AA522" s="102"/>
      <c r="AB522" s="102"/>
      <c r="AC522" s="102"/>
      <c r="AD522" s="102"/>
      <c r="AE522" s="102"/>
      <c r="AF522" s="102"/>
      <c r="AG522" s="102"/>
      <c r="AH522" s="102"/>
      <c r="AI522" s="102"/>
      <c r="AJ522" s="102"/>
      <c r="AK522" s="102"/>
      <c r="AL522" s="102"/>
      <c r="AM522" s="102"/>
      <c r="AN522" s="102"/>
      <c r="AO522" s="102"/>
      <c r="AP522" s="102"/>
      <c r="AQ522" s="102"/>
      <c r="AR522" s="102"/>
      <c r="AS522" s="102"/>
      <c r="AT522" s="102"/>
      <c r="AU522" s="102"/>
    </row>
    <row r="523" spans="1:47" s="78" customFormat="1" ht="12.6" customHeight="1" x14ac:dyDescent="0.3">
      <c r="A523" s="102"/>
      <c r="V523" s="102"/>
      <c r="W523" s="102"/>
      <c r="X523" s="102"/>
      <c r="Y523" s="102"/>
      <c r="Z523" s="102"/>
      <c r="AA523" s="102"/>
      <c r="AB523" s="102"/>
      <c r="AC523" s="102"/>
      <c r="AD523" s="102"/>
      <c r="AE523" s="102"/>
      <c r="AF523" s="102"/>
      <c r="AG523" s="102"/>
      <c r="AH523" s="102"/>
      <c r="AI523" s="102"/>
      <c r="AJ523" s="102"/>
      <c r="AK523" s="102"/>
      <c r="AL523" s="102"/>
      <c r="AM523" s="102"/>
      <c r="AN523" s="102"/>
      <c r="AO523" s="102"/>
      <c r="AP523" s="102"/>
      <c r="AQ523" s="102"/>
      <c r="AR523" s="102"/>
      <c r="AS523" s="102"/>
      <c r="AT523" s="102"/>
      <c r="AU523" s="102"/>
    </row>
    <row r="524" spans="1:47" s="78" customFormat="1" ht="12.6" customHeight="1" x14ac:dyDescent="0.3">
      <c r="A524" s="102"/>
      <c r="V524" s="102"/>
      <c r="W524" s="102"/>
      <c r="X524" s="102"/>
      <c r="Y524" s="102"/>
      <c r="Z524" s="102"/>
      <c r="AA524" s="102"/>
      <c r="AB524" s="102"/>
      <c r="AC524" s="102"/>
      <c r="AD524" s="102"/>
      <c r="AE524" s="102"/>
      <c r="AF524" s="102"/>
      <c r="AG524" s="102"/>
      <c r="AH524" s="102"/>
      <c r="AI524" s="102"/>
      <c r="AJ524" s="102"/>
      <c r="AK524" s="102"/>
      <c r="AL524" s="102"/>
      <c r="AM524" s="102"/>
      <c r="AN524" s="102"/>
      <c r="AO524" s="102"/>
      <c r="AP524" s="102"/>
      <c r="AQ524" s="102"/>
      <c r="AR524" s="102"/>
      <c r="AS524" s="102"/>
      <c r="AT524" s="102"/>
      <c r="AU524" s="102"/>
    </row>
    <row r="525" spans="1:47" s="78" customFormat="1" ht="12.6" customHeight="1" x14ac:dyDescent="0.3">
      <c r="A525" s="102"/>
      <c r="V525" s="102"/>
      <c r="W525" s="102"/>
      <c r="X525" s="102"/>
      <c r="Y525" s="102"/>
      <c r="Z525" s="102"/>
      <c r="AA525" s="102"/>
      <c r="AB525" s="102"/>
      <c r="AC525" s="102"/>
      <c r="AD525" s="102"/>
      <c r="AE525" s="102"/>
      <c r="AF525" s="102"/>
      <c r="AG525" s="102"/>
      <c r="AH525" s="102"/>
      <c r="AI525" s="102"/>
      <c r="AJ525" s="102"/>
      <c r="AK525" s="102"/>
      <c r="AL525" s="102"/>
      <c r="AM525" s="102"/>
      <c r="AN525" s="102"/>
      <c r="AO525" s="102"/>
      <c r="AP525" s="102"/>
      <c r="AQ525" s="102"/>
      <c r="AR525" s="102"/>
      <c r="AS525" s="102"/>
      <c r="AT525" s="102"/>
      <c r="AU525" s="102"/>
    </row>
    <row r="526" spans="1:47" s="78" customFormat="1" ht="12.6" customHeight="1" x14ac:dyDescent="0.3">
      <c r="A526" s="102"/>
      <c r="V526" s="102"/>
      <c r="W526" s="102"/>
      <c r="X526" s="102"/>
      <c r="Y526" s="102"/>
      <c r="Z526" s="102"/>
      <c r="AA526" s="102"/>
      <c r="AB526" s="102"/>
      <c r="AC526" s="102"/>
      <c r="AD526" s="102"/>
      <c r="AE526" s="102"/>
      <c r="AF526" s="102"/>
      <c r="AG526" s="102"/>
      <c r="AH526" s="102"/>
      <c r="AI526" s="102"/>
      <c r="AJ526" s="102"/>
      <c r="AK526" s="102"/>
      <c r="AL526" s="102"/>
      <c r="AM526" s="102"/>
      <c r="AN526" s="102"/>
      <c r="AO526" s="102"/>
      <c r="AP526" s="102"/>
      <c r="AQ526" s="102"/>
      <c r="AR526" s="102"/>
      <c r="AS526" s="102"/>
      <c r="AT526" s="102"/>
      <c r="AU526" s="102"/>
    </row>
    <row r="527" spans="1:47" s="78" customFormat="1" ht="12.6" customHeight="1" x14ac:dyDescent="0.3">
      <c r="A527" s="102"/>
      <c r="V527" s="102"/>
      <c r="W527" s="102"/>
      <c r="X527" s="102"/>
      <c r="Y527" s="102"/>
      <c r="Z527" s="102"/>
      <c r="AA527" s="102"/>
      <c r="AB527" s="102"/>
      <c r="AC527" s="102"/>
      <c r="AD527" s="102"/>
      <c r="AE527" s="102"/>
      <c r="AF527" s="102"/>
      <c r="AG527" s="102"/>
      <c r="AH527" s="102"/>
      <c r="AI527" s="102"/>
      <c r="AJ527" s="102"/>
      <c r="AK527" s="102"/>
      <c r="AL527" s="102"/>
      <c r="AM527" s="102"/>
      <c r="AN527" s="102"/>
      <c r="AO527" s="102"/>
      <c r="AP527" s="102"/>
      <c r="AQ527" s="102"/>
      <c r="AR527" s="102"/>
      <c r="AS527" s="102"/>
      <c r="AT527" s="102"/>
      <c r="AU527" s="102"/>
    </row>
    <row r="528" spans="1:47" s="78" customFormat="1" ht="12.6" customHeight="1" x14ac:dyDescent="0.3">
      <c r="A528" s="102"/>
      <c r="V528" s="102"/>
      <c r="W528" s="102"/>
      <c r="X528" s="102"/>
      <c r="Y528" s="102"/>
      <c r="Z528" s="102"/>
      <c r="AA528" s="102"/>
      <c r="AB528" s="102"/>
      <c r="AC528" s="102"/>
      <c r="AD528" s="102"/>
      <c r="AE528" s="102"/>
      <c r="AF528" s="102"/>
      <c r="AG528" s="102"/>
      <c r="AH528" s="102"/>
      <c r="AI528" s="102"/>
      <c r="AJ528" s="102"/>
      <c r="AK528" s="102"/>
      <c r="AL528" s="102"/>
      <c r="AM528" s="102"/>
      <c r="AN528" s="102"/>
      <c r="AO528" s="102"/>
      <c r="AP528" s="102"/>
      <c r="AQ528" s="102"/>
      <c r="AR528" s="102"/>
      <c r="AS528" s="102"/>
      <c r="AT528" s="102"/>
      <c r="AU528" s="102"/>
    </row>
    <row r="529" spans="1:47" s="78" customFormat="1" ht="12.6" customHeight="1" x14ac:dyDescent="0.3">
      <c r="A529" s="102"/>
      <c r="V529" s="102"/>
      <c r="W529" s="102"/>
      <c r="X529" s="102"/>
      <c r="Y529" s="102"/>
      <c r="Z529" s="102"/>
      <c r="AA529" s="102"/>
      <c r="AB529" s="102"/>
      <c r="AC529" s="102"/>
      <c r="AD529" s="102"/>
      <c r="AE529" s="102"/>
      <c r="AF529" s="102"/>
      <c r="AG529" s="102"/>
      <c r="AH529" s="102"/>
      <c r="AI529" s="102"/>
      <c r="AJ529" s="102"/>
      <c r="AK529" s="102"/>
      <c r="AL529" s="102"/>
      <c r="AM529" s="102"/>
      <c r="AN529" s="102"/>
      <c r="AO529" s="102"/>
      <c r="AP529" s="102"/>
      <c r="AQ529" s="102"/>
      <c r="AR529" s="102"/>
      <c r="AS529" s="102"/>
      <c r="AT529" s="102"/>
      <c r="AU529" s="102"/>
    </row>
    <row r="530" spans="1:47" s="78" customFormat="1" ht="12.6" customHeight="1" x14ac:dyDescent="0.3">
      <c r="A530" s="102"/>
      <c r="V530" s="102"/>
      <c r="W530" s="102"/>
      <c r="X530" s="102"/>
      <c r="Y530" s="102"/>
      <c r="Z530" s="102"/>
      <c r="AA530" s="102"/>
      <c r="AB530" s="102"/>
      <c r="AC530" s="102"/>
      <c r="AD530" s="102"/>
      <c r="AE530" s="102"/>
      <c r="AF530" s="102"/>
      <c r="AG530" s="102"/>
      <c r="AH530" s="102"/>
      <c r="AI530" s="102"/>
      <c r="AJ530" s="102"/>
      <c r="AK530" s="102"/>
      <c r="AL530" s="102"/>
      <c r="AM530" s="102"/>
      <c r="AN530" s="102"/>
      <c r="AO530" s="102"/>
      <c r="AP530" s="102"/>
      <c r="AQ530" s="102"/>
      <c r="AR530" s="102"/>
      <c r="AS530" s="102"/>
      <c r="AT530" s="102"/>
      <c r="AU530" s="102"/>
    </row>
    <row r="531" spans="1:47" s="78" customFormat="1" ht="12.6" customHeight="1" x14ac:dyDescent="0.3">
      <c r="A531" s="102"/>
      <c r="V531" s="102"/>
      <c r="W531" s="102"/>
      <c r="X531" s="102"/>
      <c r="Y531" s="102"/>
      <c r="Z531" s="102"/>
      <c r="AA531" s="102"/>
      <c r="AB531" s="102"/>
      <c r="AC531" s="102"/>
      <c r="AD531" s="102"/>
      <c r="AE531" s="102"/>
      <c r="AF531" s="102"/>
      <c r="AG531" s="102"/>
      <c r="AH531" s="102"/>
      <c r="AI531" s="102"/>
      <c r="AJ531" s="102"/>
      <c r="AK531" s="102"/>
      <c r="AL531" s="102"/>
      <c r="AM531" s="102"/>
      <c r="AN531" s="102"/>
      <c r="AO531" s="102"/>
      <c r="AP531" s="102"/>
      <c r="AQ531" s="102"/>
      <c r="AR531" s="102"/>
      <c r="AS531" s="102"/>
      <c r="AT531" s="102"/>
      <c r="AU531" s="102"/>
    </row>
    <row r="532" spans="1:47" s="78" customFormat="1" ht="12.6" customHeight="1" x14ac:dyDescent="0.3">
      <c r="A532" s="102"/>
      <c r="V532" s="102"/>
      <c r="W532" s="102"/>
      <c r="X532" s="102"/>
      <c r="Y532" s="102"/>
      <c r="Z532" s="102"/>
      <c r="AA532" s="102"/>
      <c r="AB532" s="102"/>
      <c r="AC532" s="102"/>
      <c r="AD532" s="102"/>
      <c r="AE532" s="102"/>
      <c r="AF532" s="102"/>
      <c r="AG532" s="102"/>
      <c r="AH532" s="102"/>
      <c r="AI532" s="102"/>
      <c r="AJ532" s="102"/>
      <c r="AK532" s="102"/>
      <c r="AL532" s="102"/>
      <c r="AM532" s="102"/>
      <c r="AN532" s="102"/>
      <c r="AO532" s="102"/>
      <c r="AP532" s="102"/>
      <c r="AQ532" s="102"/>
      <c r="AR532" s="102"/>
      <c r="AS532" s="102"/>
      <c r="AT532" s="102"/>
      <c r="AU532" s="102"/>
    </row>
    <row r="533" spans="1:47" s="78" customFormat="1" ht="12.6" customHeight="1" x14ac:dyDescent="0.3">
      <c r="A533" s="102"/>
      <c r="V533" s="102"/>
      <c r="W533" s="102"/>
      <c r="X533" s="102"/>
      <c r="Y533" s="102"/>
      <c r="Z533" s="102"/>
      <c r="AA533" s="102"/>
      <c r="AB533" s="102"/>
      <c r="AC533" s="102"/>
      <c r="AD533" s="102"/>
      <c r="AE533" s="102"/>
      <c r="AF533" s="102"/>
      <c r="AG533" s="102"/>
      <c r="AH533" s="102"/>
      <c r="AI533" s="102"/>
      <c r="AJ533" s="102"/>
      <c r="AK533" s="102"/>
      <c r="AL533" s="102"/>
      <c r="AM533" s="102"/>
      <c r="AN533" s="102"/>
      <c r="AO533" s="102"/>
      <c r="AP533" s="102"/>
      <c r="AQ533" s="102"/>
      <c r="AR533" s="102"/>
      <c r="AS533" s="102"/>
      <c r="AT533" s="102"/>
      <c r="AU533" s="102"/>
    </row>
    <row r="534" spans="1:47" s="78" customFormat="1" ht="12.6" customHeight="1" x14ac:dyDescent="0.3">
      <c r="A534" s="102"/>
      <c r="V534" s="102"/>
      <c r="W534" s="102"/>
      <c r="X534" s="102"/>
      <c r="Y534" s="102"/>
      <c r="Z534" s="102"/>
      <c r="AA534" s="102"/>
      <c r="AB534" s="102"/>
      <c r="AC534" s="102"/>
      <c r="AD534" s="102"/>
      <c r="AE534" s="102"/>
      <c r="AF534" s="102"/>
      <c r="AG534" s="102"/>
      <c r="AH534" s="102"/>
      <c r="AI534" s="102"/>
      <c r="AJ534" s="102"/>
      <c r="AK534" s="102"/>
      <c r="AL534" s="102"/>
      <c r="AM534" s="102"/>
      <c r="AN534" s="102"/>
      <c r="AO534" s="102"/>
      <c r="AP534" s="102"/>
      <c r="AQ534" s="102"/>
      <c r="AR534" s="102"/>
      <c r="AS534" s="102"/>
      <c r="AT534" s="102"/>
      <c r="AU534" s="102"/>
    </row>
    <row r="535" spans="1:47" s="78" customFormat="1" ht="12.6" customHeight="1" x14ac:dyDescent="0.3">
      <c r="A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row>
    <row r="536" spans="1:47" s="78" customFormat="1" ht="12.6" customHeight="1" x14ac:dyDescent="0.3">
      <c r="A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row>
    <row r="537" spans="1:47" s="78" customFormat="1" ht="12.6" customHeight="1" x14ac:dyDescent="0.3">
      <c r="A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row>
    <row r="538" spans="1:47" s="78" customFormat="1" ht="12.6" customHeight="1" x14ac:dyDescent="0.3">
      <c r="A538" s="102"/>
      <c r="V538" s="102"/>
      <c r="W538" s="102"/>
      <c r="X538" s="102"/>
      <c r="Y538" s="102"/>
      <c r="Z538" s="102"/>
      <c r="AA538" s="102"/>
      <c r="AB538" s="102"/>
      <c r="AC538" s="102"/>
      <c r="AD538" s="102"/>
      <c r="AE538" s="102"/>
      <c r="AF538" s="102"/>
      <c r="AG538" s="102"/>
      <c r="AH538" s="102"/>
      <c r="AI538" s="102"/>
      <c r="AJ538" s="102"/>
      <c r="AK538" s="102"/>
      <c r="AL538" s="102"/>
      <c r="AM538" s="102"/>
      <c r="AN538" s="102"/>
      <c r="AO538" s="102"/>
      <c r="AP538" s="102"/>
      <c r="AQ538" s="102"/>
      <c r="AR538" s="102"/>
      <c r="AS538" s="102"/>
      <c r="AT538" s="102"/>
      <c r="AU538" s="102"/>
    </row>
    <row r="539" spans="1:47" s="78" customFormat="1" ht="12.6" customHeight="1" x14ac:dyDescent="0.3">
      <c r="A539" s="102"/>
      <c r="V539" s="102"/>
      <c r="W539" s="102"/>
      <c r="X539" s="102"/>
      <c r="Y539" s="102"/>
      <c r="Z539" s="102"/>
      <c r="AA539" s="102"/>
      <c r="AB539" s="102"/>
      <c r="AC539" s="102"/>
      <c r="AD539" s="102"/>
      <c r="AE539" s="102"/>
      <c r="AF539" s="102"/>
      <c r="AG539" s="102"/>
      <c r="AH539" s="102"/>
      <c r="AI539" s="102"/>
      <c r="AJ539" s="102"/>
      <c r="AK539" s="102"/>
      <c r="AL539" s="102"/>
      <c r="AM539" s="102"/>
      <c r="AN539" s="102"/>
      <c r="AO539" s="102"/>
      <c r="AP539" s="102"/>
      <c r="AQ539" s="102"/>
      <c r="AR539" s="102"/>
      <c r="AS539" s="102"/>
      <c r="AT539" s="102"/>
      <c r="AU539" s="102"/>
    </row>
    <row r="540" spans="1:47" s="78" customFormat="1" ht="12.6" customHeight="1" x14ac:dyDescent="0.3">
      <c r="A540" s="102"/>
      <c r="V540" s="102"/>
      <c r="W540" s="102"/>
      <c r="X540" s="102"/>
      <c r="Y540" s="102"/>
      <c r="Z540" s="102"/>
      <c r="AA540" s="102"/>
      <c r="AB540" s="102"/>
      <c r="AC540" s="102"/>
      <c r="AD540" s="102"/>
      <c r="AE540" s="102"/>
      <c r="AF540" s="102"/>
      <c r="AG540" s="102"/>
      <c r="AH540" s="102"/>
      <c r="AI540" s="102"/>
      <c r="AJ540" s="102"/>
      <c r="AK540" s="102"/>
      <c r="AL540" s="102"/>
      <c r="AM540" s="102"/>
      <c r="AN540" s="102"/>
      <c r="AO540" s="102"/>
      <c r="AP540" s="102"/>
      <c r="AQ540" s="102"/>
      <c r="AR540" s="102"/>
      <c r="AS540" s="102"/>
      <c r="AT540" s="102"/>
      <c r="AU540" s="102"/>
    </row>
    <row r="541" spans="1:47" s="78" customFormat="1" ht="12.6" customHeight="1" x14ac:dyDescent="0.3">
      <c r="A541" s="102"/>
      <c r="V541" s="102"/>
      <c r="W541" s="102"/>
      <c r="X541" s="102"/>
      <c r="Y541" s="102"/>
      <c r="Z541" s="102"/>
      <c r="AA541" s="102"/>
      <c r="AB541" s="102"/>
      <c r="AC541" s="102"/>
      <c r="AD541" s="102"/>
      <c r="AE541" s="102"/>
      <c r="AF541" s="102"/>
      <c r="AG541" s="102"/>
      <c r="AH541" s="102"/>
      <c r="AI541" s="102"/>
      <c r="AJ541" s="102"/>
      <c r="AK541" s="102"/>
      <c r="AL541" s="102"/>
      <c r="AM541" s="102"/>
      <c r="AN541" s="102"/>
      <c r="AO541" s="102"/>
      <c r="AP541" s="102"/>
      <c r="AQ541" s="102"/>
      <c r="AR541" s="102"/>
      <c r="AS541" s="102"/>
      <c r="AT541" s="102"/>
      <c r="AU541" s="102"/>
    </row>
    <row r="542" spans="1:47" s="78" customFormat="1" ht="12.6" customHeight="1" x14ac:dyDescent="0.3">
      <c r="A542" s="102"/>
      <c r="V542" s="102"/>
      <c r="W542" s="102"/>
      <c r="X542" s="102"/>
      <c r="Y542" s="102"/>
      <c r="Z542" s="102"/>
      <c r="AA542" s="102"/>
      <c r="AB542" s="102"/>
      <c r="AC542" s="102"/>
      <c r="AD542" s="102"/>
      <c r="AE542" s="102"/>
      <c r="AF542" s="102"/>
      <c r="AG542" s="102"/>
      <c r="AH542" s="102"/>
      <c r="AI542" s="102"/>
      <c r="AJ542" s="102"/>
      <c r="AK542" s="102"/>
      <c r="AL542" s="102"/>
      <c r="AM542" s="102"/>
      <c r="AN542" s="102"/>
      <c r="AO542" s="102"/>
      <c r="AP542" s="102"/>
      <c r="AQ542" s="102"/>
      <c r="AR542" s="102"/>
      <c r="AS542" s="102"/>
      <c r="AT542" s="102"/>
      <c r="AU542" s="102"/>
    </row>
    <row r="543" spans="1:47" s="78" customFormat="1" ht="12.6" customHeight="1" x14ac:dyDescent="0.3">
      <c r="A543" s="102"/>
      <c r="V543" s="102"/>
      <c r="W543" s="102"/>
      <c r="X543" s="102"/>
      <c r="Y543" s="102"/>
      <c r="Z543" s="102"/>
      <c r="AA543" s="102"/>
      <c r="AB543" s="102"/>
      <c r="AC543" s="102"/>
      <c r="AD543" s="102"/>
      <c r="AE543" s="102"/>
      <c r="AF543" s="102"/>
      <c r="AG543" s="102"/>
      <c r="AH543" s="102"/>
      <c r="AI543" s="102"/>
      <c r="AJ543" s="102"/>
      <c r="AK543" s="102"/>
      <c r="AL543" s="102"/>
      <c r="AM543" s="102"/>
      <c r="AN543" s="102"/>
      <c r="AO543" s="102"/>
      <c r="AP543" s="102"/>
      <c r="AQ543" s="102"/>
      <c r="AR543" s="102"/>
      <c r="AS543" s="102"/>
      <c r="AT543" s="102"/>
      <c r="AU543" s="102"/>
    </row>
    <row r="544" spans="1:47" s="78" customFormat="1" ht="12.6" customHeight="1" x14ac:dyDescent="0.3">
      <c r="A544" s="102"/>
      <c r="V544" s="102"/>
      <c r="W544" s="102"/>
      <c r="X544" s="102"/>
      <c r="Y544" s="102"/>
      <c r="Z544" s="102"/>
      <c r="AA544" s="102"/>
      <c r="AB544" s="102"/>
      <c r="AC544" s="102"/>
      <c r="AD544" s="102"/>
      <c r="AE544" s="102"/>
      <c r="AF544" s="102"/>
      <c r="AG544" s="102"/>
      <c r="AH544" s="102"/>
      <c r="AI544" s="102"/>
      <c r="AJ544" s="102"/>
      <c r="AK544" s="102"/>
      <c r="AL544" s="102"/>
      <c r="AM544" s="102"/>
      <c r="AN544" s="102"/>
      <c r="AO544" s="102"/>
      <c r="AP544" s="102"/>
      <c r="AQ544" s="102"/>
      <c r="AR544" s="102"/>
      <c r="AS544" s="102"/>
      <c r="AT544" s="102"/>
      <c r="AU544" s="102"/>
    </row>
    <row r="545" spans="1:47" s="78" customFormat="1" ht="12.6" customHeight="1" x14ac:dyDescent="0.3">
      <c r="A545" s="102"/>
      <c r="V545" s="102"/>
      <c r="W545" s="102"/>
      <c r="X545" s="102"/>
      <c r="Y545" s="102"/>
      <c r="Z545" s="102"/>
      <c r="AA545" s="102"/>
      <c r="AB545" s="102"/>
      <c r="AC545" s="102"/>
      <c r="AD545" s="102"/>
      <c r="AE545" s="102"/>
      <c r="AF545" s="102"/>
      <c r="AG545" s="102"/>
      <c r="AH545" s="102"/>
      <c r="AI545" s="102"/>
      <c r="AJ545" s="102"/>
      <c r="AK545" s="102"/>
      <c r="AL545" s="102"/>
      <c r="AM545" s="102"/>
      <c r="AN545" s="102"/>
      <c r="AO545" s="102"/>
      <c r="AP545" s="102"/>
      <c r="AQ545" s="102"/>
      <c r="AR545" s="102"/>
      <c r="AS545" s="102"/>
      <c r="AT545" s="102"/>
      <c r="AU545" s="102"/>
    </row>
    <row r="546" spans="1:47" s="78" customFormat="1" ht="12.6" customHeight="1" x14ac:dyDescent="0.3">
      <c r="A546" s="102"/>
      <c r="V546" s="102"/>
      <c r="W546" s="102"/>
      <c r="X546" s="102"/>
      <c r="Y546" s="102"/>
      <c r="Z546" s="102"/>
      <c r="AA546" s="102"/>
      <c r="AB546" s="102"/>
      <c r="AC546" s="102"/>
      <c r="AD546" s="102"/>
      <c r="AE546" s="102"/>
      <c r="AF546" s="102"/>
      <c r="AG546" s="102"/>
      <c r="AH546" s="102"/>
      <c r="AI546" s="102"/>
      <c r="AJ546" s="102"/>
      <c r="AK546" s="102"/>
      <c r="AL546" s="102"/>
      <c r="AM546" s="102"/>
      <c r="AN546" s="102"/>
      <c r="AO546" s="102"/>
      <c r="AP546" s="102"/>
      <c r="AQ546" s="102"/>
      <c r="AR546" s="102"/>
      <c r="AS546" s="102"/>
      <c r="AT546" s="102"/>
      <c r="AU546" s="102"/>
    </row>
    <row r="547" spans="1:47" s="78" customFormat="1" ht="12.6" customHeight="1" x14ac:dyDescent="0.3">
      <c r="A547" s="102"/>
      <c r="V547" s="102"/>
      <c r="W547" s="102"/>
      <c r="X547" s="102"/>
      <c r="Y547" s="102"/>
      <c r="Z547" s="102"/>
      <c r="AA547" s="102"/>
      <c r="AB547" s="102"/>
      <c r="AC547" s="102"/>
      <c r="AD547" s="102"/>
      <c r="AE547" s="102"/>
      <c r="AF547" s="102"/>
      <c r="AG547" s="102"/>
      <c r="AH547" s="102"/>
      <c r="AI547" s="102"/>
      <c r="AJ547" s="102"/>
      <c r="AK547" s="102"/>
      <c r="AL547" s="102"/>
      <c r="AM547" s="102"/>
      <c r="AN547" s="102"/>
      <c r="AO547" s="102"/>
      <c r="AP547" s="102"/>
      <c r="AQ547" s="102"/>
      <c r="AR547" s="102"/>
      <c r="AS547" s="102"/>
      <c r="AT547" s="102"/>
      <c r="AU547" s="102"/>
    </row>
    <row r="548" spans="1:47" s="78" customFormat="1" ht="12.6" customHeight="1" x14ac:dyDescent="0.3">
      <c r="A548" s="102"/>
      <c r="V548" s="102"/>
      <c r="W548" s="102"/>
      <c r="X548" s="102"/>
      <c r="Y548" s="102"/>
      <c r="Z548" s="102"/>
      <c r="AA548" s="102"/>
      <c r="AB548" s="102"/>
      <c r="AC548" s="102"/>
      <c r="AD548" s="102"/>
      <c r="AE548" s="102"/>
      <c r="AF548" s="102"/>
      <c r="AG548" s="102"/>
      <c r="AH548" s="102"/>
      <c r="AI548" s="102"/>
      <c r="AJ548" s="102"/>
      <c r="AK548" s="102"/>
      <c r="AL548" s="102"/>
      <c r="AM548" s="102"/>
      <c r="AN548" s="102"/>
      <c r="AO548" s="102"/>
      <c r="AP548" s="102"/>
      <c r="AQ548" s="102"/>
      <c r="AR548" s="102"/>
      <c r="AS548" s="102"/>
      <c r="AT548" s="102"/>
      <c r="AU548" s="102"/>
    </row>
    <row r="549" spans="1:47" s="78" customFormat="1" ht="12.6" customHeight="1" x14ac:dyDescent="0.3">
      <c r="A549" s="102"/>
      <c r="V549" s="102"/>
      <c r="W549" s="102"/>
      <c r="X549" s="102"/>
      <c r="Y549" s="102"/>
      <c r="Z549" s="102"/>
      <c r="AA549" s="102"/>
      <c r="AB549" s="102"/>
      <c r="AC549" s="102"/>
      <c r="AD549" s="102"/>
      <c r="AE549" s="102"/>
      <c r="AF549" s="102"/>
      <c r="AG549" s="102"/>
      <c r="AH549" s="102"/>
      <c r="AI549" s="102"/>
      <c r="AJ549" s="102"/>
      <c r="AK549" s="102"/>
      <c r="AL549" s="102"/>
      <c r="AM549" s="102"/>
      <c r="AN549" s="102"/>
      <c r="AO549" s="102"/>
      <c r="AP549" s="102"/>
      <c r="AQ549" s="102"/>
      <c r="AR549" s="102"/>
      <c r="AS549" s="102"/>
      <c r="AT549" s="102"/>
      <c r="AU549" s="102"/>
    </row>
    <row r="550" spans="1:47" s="78" customFormat="1" ht="12.6" customHeight="1" x14ac:dyDescent="0.3">
      <c r="A550" s="102"/>
      <c r="V550" s="102"/>
      <c r="W550" s="102"/>
      <c r="X550" s="102"/>
      <c r="Y550" s="102"/>
      <c r="Z550" s="102"/>
      <c r="AA550" s="102"/>
      <c r="AB550" s="102"/>
      <c r="AC550" s="102"/>
      <c r="AD550" s="102"/>
      <c r="AE550" s="102"/>
      <c r="AF550" s="102"/>
      <c r="AG550" s="102"/>
      <c r="AH550" s="102"/>
      <c r="AI550" s="102"/>
      <c r="AJ550" s="102"/>
      <c r="AK550" s="102"/>
      <c r="AL550" s="102"/>
      <c r="AM550" s="102"/>
      <c r="AN550" s="102"/>
      <c r="AO550" s="102"/>
      <c r="AP550" s="102"/>
      <c r="AQ550" s="102"/>
      <c r="AR550" s="102"/>
      <c r="AS550" s="102"/>
      <c r="AT550" s="102"/>
      <c r="AU550" s="102"/>
    </row>
    <row r="551" spans="1:47" s="78" customFormat="1" ht="12.6" customHeight="1" x14ac:dyDescent="0.3">
      <c r="A551" s="102"/>
      <c r="V551" s="102"/>
      <c r="W551" s="102"/>
      <c r="X551" s="102"/>
      <c r="Y551" s="102"/>
      <c r="Z551" s="102"/>
      <c r="AA551" s="102"/>
      <c r="AB551" s="102"/>
      <c r="AC551" s="102"/>
      <c r="AD551" s="102"/>
      <c r="AE551" s="102"/>
      <c r="AF551" s="102"/>
      <c r="AG551" s="102"/>
      <c r="AH551" s="102"/>
      <c r="AI551" s="102"/>
      <c r="AJ551" s="102"/>
      <c r="AK551" s="102"/>
      <c r="AL551" s="102"/>
      <c r="AM551" s="102"/>
      <c r="AN551" s="102"/>
      <c r="AO551" s="102"/>
      <c r="AP551" s="102"/>
      <c r="AQ551" s="102"/>
      <c r="AR551" s="102"/>
      <c r="AS551" s="102"/>
      <c r="AT551" s="102"/>
      <c r="AU551" s="102"/>
    </row>
    <row r="552" spans="1:47" s="78" customFormat="1" ht="12.6" customHeight="1" x14ac:dyDescent="0.3">
      <c r="A552" s="102"/>
      <c r="V552" s="102"/>
      <c r="W552" s="102"/>
      <c r="X552" s="102"/>
      <c r="Y552" s="102"/>
      <c r="Z552" s="102"/>
      <c r="AA552" s="102"/>
      <c r="AB552" s="102"/>
      <c r="AC552" s="102"/>
      <c r="AD552" s="102"/>
      <c r="AE552" s="102"/>
      <c r="AF552" s="102"/>
      <c r="AG552" s="102"/>
      <c r="AH552" s="102"/>
      <c r="AI552" s="102"/>
      <c r="AJ552" s="102"/>
      <c r="AK552" s="102"/>
      <c r="AL552" s="102"/>
      <c r="AM552" s="102"/>
      <c r="AN552" s="102"/>
      <c r="AO552" s="102"/>
      <c r="AP552" s="102"/>
      <c r="AQ552" s="102"/>
      <c r="AR552" s="102"/>
      <c r="AS552" s="102"/>
      <c r="AT552" s="102"/>
      <c r="AU552" s="102"/>
    </row>
    <row r="553" spans="1:47" s="78" customFormat="1" ht="12.6" customHeight="1" x14ac:dyDescent="0.3">
      <c r="A553" s="102"/>
      <c r="V553" s="102"/>
      <c r="W553" s="102"/>
      <c r="X553" s="102"/>
      <c r="Y553" s="102"/>
      <c r="Z553" s="102"/>
      <c r="AA553" s="102"/>
      <c r="AB553" s="102"/>
      <c r="AC553" s="102"/>
      <c r="AD553" s="102"/>
      <c r="AE553" s="102"/>
      <c r="AF553" s="102"/>
      <c r="AG553" s="102"/>
      <c r="AH553" s="102"/>
      <c r="AI553" s="102"/>
      <c r="AJ553" s="102"/>
      <c r="AK553" s="102"/>
      <c r="AL553" s="102"/>
      <c r="AM553" s="102"/>
      <c r="AN553" s="102"/>
      <c r="AO553" s="102"/>
      <c r="AP553" s="102"/>
      <c r="AQ553" s="102"/>
      <c r="AR553" s="102"/>
      <c r="AS553" s="102"/>
      <c r="AT553" s="102"/>
      <c r="AU553" s="102"/>
    </row>
    <row r="554" spans="1:47" s="78" customFormat="1" ht="12.6" customHeight="1" x14ac:dyDescent="0.3">
      <c r="A554" s="102"/>
      <c r="V554" s="102"/>
      <c r="W554" s="102"/>
      <c r="X554" s="102"/>
      <c r="Y554" s="102"/>
      <c r="Z554" s="102"/>
      <c r="AA554" s="102"/>
      <c r="AB554" s="102"/>
      <c r="AC554" s="102"/>
      <c r="AD554" s="102"/>
      <c r="AE554" s="102"/>
      <c r="AF554" s="102"/>
      <c r="AG554" s="102"/>
      <c r="AH554" s="102"/>
      <c r="AI554" s="102"/>
      <c r="AJ554" s="102"/>
      <c r="AK554" s="102"/>
      <c r="AL554" s="102"/>
      <c r="AM554" s="102"/>
      <c r="AN554" s="102"/>
      <c r="AO554" s="102"/>
      <c r="AP554" s="102"/>
      <c r="AQ554" s="102"/>
      <c r="AR554" s="102"/>
      <c r="AS554" s="102"/>
      <c r="AT554" s="102"/>
      <c r="AU554" s="102"/>
    </row>
    <row r="555" spans="1:47" s="78" customFormat="1" ht="12.6" customHeight="1" x14ac:dyDescent="0.3">
      <c r="A555" s="102"/>
      <c r="V555" s="102"/>
      <c r="W555" s="102"/>
      <c r="X555" s="102"/>
      <c r="Y555" s="102"/>
      <c r="Z555" s="102"/>
      <c r="AA555" s="102"/>
      <c r="AB555" s="102"/>
      <c r="AC555" s="102"/>
      <c r="AD555" s="102"/>
      <c r="AE555" s="102"/>
      <c r="AF555" s="102"/>
      <c r="AG555" s="102"/>
      <c r="AH555" s="102"/>
      <c r="AI555" s="102"/>
      <c r="AJ555" s="102"/>
      <c r="AK555" s="102"/>
      <c r="AL555" s="102"/>
      <c r="AM555" s="102"/>
      <c r="AN555" s="102"/>
      <c r="AO555" s="102"/>
      <c r="AP555" s="102"/>
      <c r="AQ555" s="102"/>
      <c r="AR555" s="102"/>
      <c r="AS555" s="102"/>
      <c r="AT555" s="102"/>
      <c r="AU555" s="102"/>
    </row>
    <row r="556" spans="1:47" s="78" customFormat="1" ht="12.6" customHeight="1" x14ac:dyDescent="0.3">
      <c r="A556" s="102"/>
      <c r="V556" s="102"/>
      <c r="W556" s="102"/>
      <c r="X556" s="102"/>
      <c r="Y556" s="102"/>
      <c r="Z556" s="102"/>
      <c r="AA556" s="102"/>
      <c r="AB556" s="102"/>
      <c r="AC556" s="102"/>
      <c r="AD556" s="102"/>
      <c r="AE556" s="102"/>
      <c r="AF556" s="102"/>
      <c r="AG556" s="102"/>
      <c r="AH556" s="102"/>
      <c r="AI556" s="102"/>
      <c r="AJ556" s="102"/>
      <c r="AK556" s="102"/>
      <c r="AL556" s="102"/>
      <c r="AM556" s="102"/>
      <c r="AN556" s="102"/>
      <c r="AO556" s="102"/>
      <c r="AP556" s="102"/>
      <c r="AQ556" s="102"/>
      <c r="AR556" s="102"/>
      <c r="AS556" s="102"/>
      <c r="AT556" s="102"/>
      <c r="AU556" s="102"/>
    </row>
    <row r="557" spans="1:47" s="78" customFormat="1" ht="12.6" customHeight="1" x14ac:dyDescent="0.3">
      <c r="A557" s="102"/>
      <c r="V557" s="102"/>
      <c r="W557" s="102"/>
      <c r="X557" s="102"/>
      <c r="Y557" s="102"/>
      <c r="Z557" s="102"/>
      <c r="AA557" s="102"/>
      <c r="AB557" s="102"/>
      <c r="AC557" s="102"/>
      <c r="AD557" s="102"/>
      <c r="AE557" s="102"/>
      <c r="AF557" s="102"/>
      <c r="AG557" s="102"/>
      <c r="AH557" s="102"/>
      <c r="AI557" s="102"/>
      <c r="AJ557" s="102"/>
      <c r="AK557" s="102"/>
      <c r="AL557" s="102"/>
      <c r="AM557" s="102"/>
      <c r="AN557" s="102"/>
      <c r="AO557" s="102"/>
      <c r="AP557" s="102"/>
      <c r="AQ557" s="102"/>
      <c r="AR557" s="102"/>
      <c r="AS557" s="102"/>
      <c r="AT557" s="102"/>
      <c r="AU557" s="102"/>
    </row>
    <row r="558" spans="1:47" s="78" customFormat="1" ht="12.6" customHeight="1" x14ac:dyDescent="0.3">
      <c r="A558" s="102"/>
      <c r="V558" s="102"/>
      <c r="W558" s="102"/>
      <c r="X558" s="102"/>
      <c r="Y558" s="102"/>
      <c r="Z558" s="102"/>
      <c r="AA558" s="102"/>
      <c r="AB558" s="102"/>
      <c r="AC558" s="102"/>
      <c r="AD558" s="102"/>
      <c r="AE558" s="102"/>
      <c r="AF558" s="102"/>
      <c r="AG558" s="102"/>
      <c r="AH558" s="102"/>
      <c r="AI558" s="102"/>
      <c r="AJ558" s="102"/>
      <c r="AK558" s="102"/>
      <c r="AL558" s="102"/>
      <c r="AM558" s="102"/>
      <c r="AN558" s="102"/>
      <c r="AO558" s="102"/>
      <c r="AP558" s="102"/>
      <c r="AQ558" s="102"/>
      <c r="AR558" s="102"/>
      <c r="AS558" s="102"/>
      <c r="AT558" s="102"/>
      <c r="AU558" s="102"/>
    </row>
    <row r="559" spans="1:47" s="78" customFormat="1" ht="12.6" customHeight="1" x14ac:dyDescent="0.3">
      <c r="A559" s="102"/>
      <c r="V559" s="102"/>
      <c r="W559" s="102"/>
      <c r="X559" s="102"/>
      <c r="Y559" s="102"/>
      <c r="Z559" s="102"/>
      <c r="AA559" s="102"/>
      <c r="AB559" s="102"/>
      <c r="AC559" s="102"/>
      <c r="AD559" s="102"/>
      <c r="AE559" s="102"/>
      <c r="AF559" s="102"/>
      <c r="AG559" s="102"/>
      <c r="AH559" s="102"/>
      <c r="AI559" s="102"/>
      <c r="AJ559" s="102"/>
      <c r="AK559" s="102"/>
      <c r="AL559" s="102"/>
      <c r="AM559" s="102"/>
      <c r="AN559" s="102"/>
      <c r="AO559" s="102"/>
      <c r="AP559" s="102"/>
      <c r="AQ559" s="102"/>
      <c r="AR559" s="102"/>
      <c r="AS559" s="102"/>
      <c r="AT559" s="102"/>
      <c r="AU559" s="102"/>
    </row>
    <row r="560" spans="1:47" s="78" customFormat="1" ht="12.6" customHeight="1" x14ac:dyDescent="0.3">
      <c r="A560" s="102"/>
      <c r="V560" s="102"/>
      <c r="W560" s="102"/>
      <c r="X560" s="102"/>
      <c r="Y560" s="102"/>
      <c r="Z560" s="102"/>
      <c r="AA560" s="102"/>
      <c r="AB560" s="102"/>
      <c r="AC560" s="102"/>
      <c r="AD560" s="102"/>
      <c r="AE560" s="102"/>
      <c r="AF560" s="102"/>
      <c r="AG560" s="102"/>
      <c r="AH560" s="102"/>
      <c r="AI560" s="102"/>
      <c r="AJ560" s="102"/>
      <c r="AK560" s="102"/>
      <c r="AL560" s="102"/>
      <c r="AM560" s="102"/>
      <c r="AN560" s="102"/>
      <c r="AO560" s="102"/>
      <c r="AP560" s="102"/>
      <c r="AQ560" s="102"/>
      <c r="AR560" s="102"/>
      <c r="AS560" s="102"/>
      <c r="AT560" s="102"/>
      <c r="AU560" s="102"/>
    </row>
    <row r="561" spans="1:47" s="78" customFormat="1" ht="12.6" customHeight="1" x14ac:dyDescent="0.3">
      <c r="A561" s="102"/>
      <c r="V561" s="102"/>
      <c r="W561" s="102"/>
      <c r="X561" s="102"/>
      <c r="Y561" s="102"/>
      <c r="Z561" s="102"/>
      <c r="AA561" s="102"/>
      <c r="AB561" s="102"/>
      <c r="AC561" s="102"/>
      <c r="AD561" s="102"/>
      <c r="AE561" s="102"/>
      <c r="AF561" s="102"/>
      <c r="AG561" s="102"/>
      <c r="AH561" s="102"/>
      <c r="AI561" s="102"/>
      <c r="AJ561" s="102"/>
      <c r="AK561" s="102"/>
      <c r="AL561" s="102"/>
      <c r="AM561" s="102"/>
      <c r="AN561" s="102"/>
      <c r="AO561" s="102"/>
      <c r="AP561" s="102"/>
      <c r="AQ561" s="102"/>
      <c r="AR561" s="102"/>
      <c r="AS561" s="102"/>
      <c r="AT561" s="102"/>
      <c r="AU561" s="102"/>
    </row>
    <row r="562" spans="1:47" s="78" customFormat="1" ht="12.6" customHeight="1" x14ac:dyDescent="0.3">
      <c r="A562" s="102"/>
      <c r="V562" s="102"/>
      <c r="W562" s="102"/>
      <c r="X562" s="102"/>
      <c r="Y562" s="102"/>
      <c r="Z562" s="102"/>
      <c r="AA562" s="102"/>
      <c r="AB562" s="102"/>
      <c r="AC562" s="102"/>
      <c r="AD562" s="102"/>
      <c r="AE562" s="102"/>
      <c r="AF562" s="102"/>
      <c r="AG562" s="102"/>
      <c r="AH562" s="102"/>
      <c r="AI562" s="102"/>
      <c r="AJ562" s="102"/>
      <c r="AK562" s="102"/>
      <c r="AL562" s="102"/>
      <c r="AM562" s="102"/>
      <c r="AN562" s="102"/>
      <c r="AO562" s="102"/>
      <c r="AP562" s="102"/>
      <c r="AQ562" s="102"/>
      <c r="AR562" s="102"/>
      <c r="AS562" s="102"/>
      <c r="AT562" s="102"/>
      <c r="AU562" s="102"/>
    </row>
    <row r="563" spans="1:47" s="78" customFormat="1" ht="12.6" customHeight="1" x14ac:dyDescent="0.3">
      <c r="A563" s="102"/>
      <c r="V563" s="102"/>
      <c r="W563" s="102"/>
      <c r="X563" s="102"/>
      <c r="Y563" s="102"/>
      <c r="Z563" s="102"/>
      <c r="AA563" s="102"/>
      <c r="AB563" s="102"/>
      <c r="AC563" s="102"/>
      <c r="AD563" s="102"/>
      <c r="AE563" s="102"/>
      <c r="AF563" s="102"/>
      <c r="AG563" s="102"/>
      <c r="AH563" s="102"/>
      <c r="AI563" s="102"/>
      <c r="AJ563" s="102"/>
      <c r="AK563" s="102"/>
      <c r="AL563" s="102"/>
      <c r="AM563" s="102"/>
      <c r="AN563" s="102"/>
      <c r="AO563" s="102"/>
      <c r="AP563" s="102"/>
      <c r="AQ563" s="102"/>
      <c r="AR563" s="102"/>
      <c r="AS563" s="102"/>
      <c r="AT563" s="102"/>
      <c r="AU563" s="102"/>
    </row>
    <row r="564" spans="1:47" s="78" customFormat="1" ht="12.6" customHeight="1" x14ac:dyDescent="0.3">
      <c r="A564" s="102"/>
      <c r="V564" s="102"/>
      <c r="W564" s="102"/>
      <c r="X564" s="102"/>
      <c r="Y564" s="102"/>
      <c r="Z564" s="102"/>
      <c r="AA564" s="102"/>
      <c r="AB564" s="102"/>
      <c r="AC564" s="102"/>
      <c r="AD564" s="102"/>
      <c r="AE564" s="102"/>
      <c r="AF564" s="102"/>
      <c r="AG564" s="102"/>
      <c r="AH564" s="102"/>
      <c r="AI564" s="102"/>
      <c r="AJ564" s="102"/>
      <c r="AK564" s="102"/>
      <c r="AL564" s="102"/>
      <c r="AM564" s="102"/>
      <c r="AN564" s="102"/>
      <c r="AO564" s="102"/>
      <c r="AP564" s="102"/>
      <c r="AQ564" s="102"/>
      <c r="AR564" s="102"/>
      <c r="AS564" s="102"/>
      <c r="AT564" s="102"/>
      <c r="AU564" s="102"/>
    </row>
    <row r="565" spans="1:47" s="78" customFormat="1" ht="12.6" customHeight="1" x14ac:dyDescent="0.3">
      <c r="A565" s="102"/>
      <c r="V565" s="102"/>
      <c r="W565" s="102"/>
      <c r="X565" s="102"/>
      <c r="Y565" s="102"/>
      <c r="Z565" s="102"/>
      <c r="AA565" s="102"/>
      <c r="AB565" s="102"/>
      <c r="AC565" s="102"/>
      <c r="AD565" s="102"/>
      <c r="AE565" s="102"/>
      <c r="AF565" s="102"/>
      <c r="AG565" s="102"/>
      <c r="AH565" s="102"/>
      <c r="AI565" s="102"/>
      <c r="AJ565" s="102"/>
      <c r="AK565" s="102"/>
      <c r="AL565" s="102"/>
      <c r="AM565" s="102"/>
      <c r="AN565" s="102"/>
      <c r="AO565" s="102"/>
      <c r="AP565" s="102"/>
      <c r="AQ565" s="102"/>
      <c r="AR565" s="102"/>
      <c r="AS565" s="102"/>
      <c r="AT565" s="102"/>
      <c r="AU565" s="102"/>
    </row>
    <row r="566" spans="1:47" s="78" customFormat="1" ht="12.6" customHeight="1" x14ac:dyDescent="0.3">
      <c r="A566" s="102"/>
      <c r="V566" s="102"/>
      <c r="W566" s="102"/>
      <c r="X566" s="102"/>
      <c r="Y566" s="102"/>
      <c r="Z566" s="102"/>
      <c r="AA566" s="102"/>
      <c r="AB566" s="102"/>
      <c r="AC566" s="102"/>
      <c r="AD566" s="102"/>
      <c r="AE566" s="102"/>
      <c r="AF566" s="102"/>
      <c r="AG566" s="102"/>
      <c r="AH566" s="102"/>
      <c r="AI566" s="102"/>
      <c r="AJ566" s="102"/>
      <c r="AK566" s="102"/>
      <c r="AL566" s="102"/>
      <c r="AM566" s="102"/>
      <c r="AN566" s="102"/>
      <c r="AO566" s="102"/>
      <c r="AP566" s="102"/>
      <c r="AQ566" s="102"/>
      <c r="AR566" s="102"/>
      <c r="AS566" s="102"/>
      <c r="AT566" s="102"/>
      <c r="AU566" s="102"/>
    </row>
    <row r="567" spans="1:47" s="78" customFormat="1" ht="12.6" customHeight="1" x14ac:dyDescent="0.3">
      <c r="A567" s="102"/>
      <c r="V567" s="102"/>
      <c r="W567" s="102"/>
      <c r="X567" s="102"/>
      <c r="Y567" s="102"/>
      <c r="Z567" s="102"/>
      <c r="AA567" s="102"/>
      <c r="AB567" s="102"/>
      <c r="AC567" s="102"/>
      <c r="AD567" s="102"/>
      <c r="AE567" s="102"/>
      <c r="AF567" s="102"/>
      <c r="AG567" s="102"/>
      <c r="AH567" s="102"/>
      <c r="AI567" s="102"/>
      <c r="AJ567" s="102"/>
      <c r="AK567" s="102"/>
      <c r="AL567" s="102"/>
      <c r="AM567" s="102"/>
      <c r="AN567" s="102"/>
      <c r="AO567" s="102"/>
      <c r="AP567" s="102"/>
      <c r="AQ567" s="102"/>
      <c r="AR567" s="102"/>
      <c r="AS567" s="102"/>
      <c r="AT567" s="102"/>
      <c r="AU567" s="102"/>
    </row>
    <row r="568" spans="1:47" s="78" customFormat="1" ht="12.6" customHeight="1" x14ac:dyDescent="0.3">
      <c r="A568" s="102"/>
      <c r="V568" s="102"/>
      <c r="W568" s="102"/>
      <c r="X568" s="102"/>
      <c r="Y568" s="102"/>
      <c r="Z568" s="102"/>
      <c r="AA568" s="102"/>
      <c r="AB568" s="102"/>
      <c r="AC568" s="102"/>
      <c r="AD568" s="102"/>
      <c r="AE568" s="102"/>
      <c r="AF568" s="102"/>
      <c r="AG568" s="102"/>
      <c r="AH568" s="102"/>
      <c r="AI568" s="102"/>
      <c r="AJ568" s="102"/>
      <c r="AK568" s="102"/>
      <c r="AL568" s="102"/>
      <c r="AM568" s="102"/>
      <c r="AN568" s="102"/>
      <c r="AO568" s="102"/>
      <c r="AP568" s="102"/>
      <c r="AQ568" s="102"/>
      <c r="AR568" s="102"/>
      <c r="AS568" s="102"/>
      <c r="AT568" s="102"/>
      <c r="AU568" s="102"/>
    </row>
    <row r="569" spans="1:47" s="78" customFormat="1" ht="12.6" customHeight="1" x14ac:dyDescent="0.3">
      <c r="A569" s="102"/>
      <c r="V569" s="102"/>
      <c r="W569" s="102"/>
      <c r="X569" s="102"/>
      <c r="Y569" s="102"/>
      <c r="Z569" s="102"/>
      <c r="AA569" s="102"/>
      <c r="AB569" s="102"/>
      <c r="AC569" s="102"/>
      <c r="AD569" s="102"/>
      <c r="AE569" s="102"/>
      <c r="AF569" s="102"/>
      <c r="AG569" s="102"/>
      <c r="AH569" s="102"/>
      <c r="AI569" s="102"/>
      <c r="AJ569" s="102"/>
      <c r="AK569" s="102"/>
      <c r="AL569" s="102"/>
      <c r="AM569" s="102"/>
      <c r="AN569" s="102"/>
      <c r="AO569" s="102"/>
      <c r="AP569" s="102"/>
      <c r="AQ569" s="102"/>
      <c r="AR569" s="102"/>
      <c r="AS569" s="102"/>
      <c r="AT569" s="102"/>
      <c r="AU569" s="102"/>
    </row>
    <row r="570" spans="1:47" s="78" customFormat="1" ht="12.6" customHeight="1" x14ac:dyDescent="0.3">
      <c r="A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row>
    <row r="571" spans="1:47" s="78" customFormat="1" ht="12.6" customHeight="1" x14ac:dyDescent="0.3">
      <c r="A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row>
    <row r="572" spans="1:47" s="78" customFormat="1" ht="12.6" customHeight="1" x14ac:dyDescent="0.3">
      <c r="A572" s="102"/>
      <c r="V572" s="102"/>
      <c r="W572" s="102"/>
      <c r="X572" s="102"/>
      <c r="Y572" s="102"/>
      <c r="Z572" s="102"/>
      <c r="AA572" s="102"/>
      <c r="AB572" s="102"/>
      <c r="AC572" s="102"/>
      <c r="AD572" s="102"/>
      <c r="AE572" s="102"/>
      <c r="AF572" s="102"/>
      <c r="AG572" s="102"/>
      <c r="AH572" s="102"/>
      <c r="AI572" s="102"/>
      <c r="AJ572" s="102"/>
      <c r="AK572" s="102"/>
      <c r="AL572" s="102"/>
      <c r="AM572" s="102"/>
      <c r="AN572" s="102"/>
      <c r="AO572" s="102"/>
      <c r="AP572" s="102"/>
      <c r="AQ572" s="102"/>
      <c r="AR572" s="102"/>
      <c r="AS572" s="102"/>
      <c r="AT572" s="102"/>
      <c r="AU572" s="102"/>
    </row>
    <row r="573" spans="1:47" s="78" customFormat="1" ht="12.6" customHeight="1" x14ac:dyDescent="0.3">
      <c r="A573" s="102"/>
      <c r="V573" s="102"/>
      <c r="W573" s="102"/>
      <c r="X573" s="102"/>
      <c r="Y573" s="102"/>
      <c r="Z573" s="102"/>
      <c r="AA573" s="102"/>
      <c r="AB573" s="102"/>
      <c r="AC573" s="102"/>
      <c r="AD573" s="102"/>
      <c r="AE573" s="102"/>
      <c r="AF573" s="102"/>
      <c r="AG573" s="102"/>
      <c r="AH573" s="102"/>
      <c r="AI573" s="102"/>
      <c r="AJ573" s="102"/>
      <c r="AK573" s="102"/>
      <c r="AL573" s="102"/>
      <c r="AM573" s="102"/>
      <c r="AN573" s="102"/>
      <c r="AO573" s="102"/>
      <c r="AP573" s="102"/>
      <c r="AQ573" s="102"/>
      <c r="AR573" s="102"/>
      <c r="AS573" s="102"/>
      <c r="AT573" s="102"/>
      <c r="AU573" s="102"/>
    </row>
    <row r="574" spans="1:47" s="78" customFormat="1" ht="12.6" customHeight="1" x14ac:dyDescent="0.3">
      <c r="A574" s="102"/>
      <c r="V574" s="102"/>
      <c r="W574" s="102"/>
      <c r="X574" s="102"/>
      <c r="Y574" s="102"/>
      <c r="Z574" s="102"/>
      <c r="AA574" s="102"/>
      <c r="AB574" s="102"/>
      <c r="AC574" s="102"/>
      <c r="AD574" s="102"/>
      <c r="AE574" s="102"/>
      <c r="AF574" s="102"/>
      <c r="AG574" s="102"/>
      <c r="AH574" s="102"/>
      <c r="AI574" s="102"/>
      <c r="AJ574" s="102"/>
      <c r="AK574" s="102"/>
      <c r="AL574" s="102"/>
      <c r="AM574" s="102"/>
      <c r="AN574" s="102"/>
      <c r="AO574" s="102"/>
      <c r="AP574" s="102"/>
      <c r="AQ574" s="102"/>
      <c r="AR574" s="102"/>
      <c r="AS574" s="102"/>
      <c r="AT574" s="102"/>
      <c r="AU574" s="102"/>
    </row>
    <row r="575" spans="1:47" s="78" customFormat="1" ht="12.6" customHeight="1" x14ac:dyDescent="0.3">
      <c r="A575" s="102"/>
      <c r="V575" s="102"/>
      <c r="W575" s="102"/>
      <c r="X575" s="102"/>
      <c r="Y575" s="102"/>
      <c r="Z575" s="102"/>
      <c r="AA575" s="102"/>
      <c r="AB575" s="102"/>
      <c r="AC575" s="102"/>
      <c r="AD575" s="102"/>
      <c r="AE575" s="102"/>
      <c r="AF575" s="102"/>
      <c r="AG575" s="102"/>
      <c r="AH575" s="102"/>
      <c r="AI575" s="102"/>
      <c r="AJ575" s="102"/>
      <c r="AK575" s="102"/>
      <c r="AL575" s="102"/>
      <c r="AM575" s="102"/>
      <c r="AN575" s="102"/>
      <c r="AO575" s="102"/>
      <c r="AP575" s="102"/>
      <c r="AQ575" s="102"/>
      <c r="AR575" s="102"/>
      <c r="AS575" s="102"/>
      <c r="AT575" s="102"/>
      <c r="AU575" s="102"/>
    </row>
    <row r="576" spans="1:47" s="78" customFormat="1" ht="12.6" customHeight="1" x14ac:dyDescent="0.3">
      <c r="A576" s="102"/>
      <c r="V576" s="102"/>
      <c r="W576" s="102"/>
      <c r="X576" s="102"/>
      <c r="Y576" s="102"/>
      <c r="Z576" s="102"/>
      <c r="AA576" s="102"/>
      <c r="AB576" s="102"/>
      <c r="AC576" s="102"/>
      <c r="AD576" s="102"/>
      <c r="AE576" s="102"/>
      <c r="AF576" s="102"/>
      <c r="AG576" s="102"/>
      <c r="AH576" s="102"/>
      <c r="AI576" s="102"/>
      <c r="AJ576" s="102"/>
      <c r="AK576" s="102"/>
      <c r="AL576" s="102"/>
      <c r="AM576" s="102"/>
      <c r="AN576" s="102"/>
      <c r="AO576" s="102"/>
      <c r="AP576" s="102"/>
      <c r="AQ576" s="102"/>
      <c r="AR576" s="102"/>
      <c r="AS576" s="102"/>
      <c r="AT576" s="102"/>
      <c r="AU576" s="102"/>
    </row>
    <row r="577" spans="1:47" s="78" customFormat="1" ht="12.6" customHeight="1" x14ac:dyDescent="0.3">
      <c r="A577" s="102"/>
      <c r="V577" s="102"/>
      <c r="W577" s="102"/>
      <c r="X577" s="102"/>
      <c r="Y577" s="102"/>
      <c r="Z577" s="102"/>
      <c r="AA577" s="102"/>
      <c r="AB577" s="102"/>
      <c r="AC577" s="102"/>
      <c r="AD577" s="102"/>
      <c r="AE577" s="102"/>
      <c r="AF577" s="102"/>
      <c r="AG577" s="102"/>
      <c r="AH577" s="102"/>
      <c r="AI577" s="102"/>
      <c r="AJ577" s="102"/>
      <c r="AK577" s="102"/>
      <c r="AL577" s="102"/>
      <c r="AM577" s="102"/>
      <c r="AN577" s="102"/>
      <c r="AO577" s="102"/>
      <c r="AP577" s="102"/>
      <c r="AQ577" s="102"/>
      <c r="AR577" s="102"/>
      <c r="AS577" s="102"/>
      <c r="AT577" s="102"/>
      <c r="AU577" s="102"/>
    </row>
    <row r="578" spans="1:47" s="78" customFormat="1" ht="12.6" customHeight="1" x14ac:dyDescent="0.3">
      <c r="A578" s="102"/>
      <c r="V578" s="102"/>
      <c r="W578" s="102"/>
      <c r="X578" s="102"/>
      <c r="Y578" s="102"/>
      <c r="Z578" s="102"/>
      <c r="AA578" s="102"/>
      <c r="AB578" s="102"/>
      <c r="AC578" s="102"/>
      <c r="AD578" s="102"/>
      <c r="AE578" s="102"/>
      <c r="AF578" s="102"/>
      <c r="AG578" s="102"/>
      <c r="AH578" s="102"/>
      <c r="AI578" s="102"/>
      <c r="AJ578" s="102"/>
      <c r="AK578" s="102"/>
      <c r="AL578" s="102"/>
      <c r="AM578" s="102"/>
      <c r="AN578" s="102"/>
      <c r="AO578" s="102"/>
      <c r="AP578" s="102"/>
      <c r="AQ578" s="102"/>
      <c r="AR578" s="102"/>
      <c r="AS578" s="102"/>
      <c r="AT578" s="102"/>
      <c r="AU578" s="102"/>
    </row>
    <row r="579" spans="1:47" s="78" customFormat="1" ht="12.6" customHeight="1" x14ac:dyDescent="0.3">
      <c r="A579" s="102"/>
      <c r="V579" s="102"/>
      <c r="W579" s="102"/>
      <c r="X579" s="102"/>
      <c r="Y579" s="102"/>
      <c r="Z579" s="102"/>
      <c r="AA579" s="102"/>
      <c r="AB579" s="102"/>
      <c r="AC579" s="102"/>
      <c r="AD579" s="102"/>
      <c r="AE579" s="102"/>
      <c r="AF579" s="102"/>
      <c r="AG579" s="102"/>
      <c r="AH579" s="102"/>
      <c r="AI579" s="102"/>
      <c r="AJ579" s="102"/>
      <c r="AK579" s="102"/>
      <c r="AL579" s="102"/>
      <c r="AM579" s="102"/>
      <c r="AN579" s="102"/>
      <c r="AO579" s="102"/>
      <c r="AP579" s="102"/>
      <c r="AQ579" s="102"/>
      <c r="AR579" s="102"/>
      <c r="AS579" s="102"/>
      <c r="AT579" s="102"/>
      <c r="AU579" s="102"/>
    </row>
    <row r="580" spans="1:47" s="78" customFormat="1" ht="12.6" customHeight="1" x14ac:dyDescent="0.3">
      <c r="A580" s="102"/>
      <c r="V580" s="102"/>
      <c r="W580" s="102"/>
      <c r="X580" s="102"/>
      <c r="Y580" s="102"/>
      <c r="Z580" s="102"/>
      <c r="AA580" s="102"/>
      <c r="AB580" s="102"/>
      <c r="AC580" s="102"/>
      <c r="AD580" s="102"/>
      <c r="AE580" s="102"/>
      <c r="AF580" s="102"/>
      <c r="AG580" s="102"/>
      <c r="AH580" s="102"/>
      <c r="AI580" s="102"/>
      <c r="AJ580" s="102"/>
      <c r="AK580" s="102"/>
      <c r="AL580" s="102"/>
      <c r="AM580" s="102"/>
      <c r="AN580" s="102"/>
      <c r="AO580" s="102"/>
      <c r="AP580" s="102"/>
      <c r="AQ580" s="102"/>
      <c r="AR580" s="102"/>
      <c r="AS580" s="102"/>
      <c r="AT580" s="102"/>
      <c r="AU580" s="102"/>
    </row>
    <row r="581" spans="1:47" s="78" customFormat="1" ht="12.6" customHeight="1" x14ac:dyDescent="0.3">
      <c r="A581" s="102"/>
      <c r="V581" s="102"/>
      <c r="W581" s="102"/>
      <c r="X581" s="102"/>
      <c r="Y581" s="102"/>
      <c r="Z581" s="102"/>
      <c r="AA581" s="102"/>
      <c r="AB581" s="102"/>
      <c r="AC581" s="102"/>
      <c r="AD581" s="102"/>
      <c r="AE581" s="102"/>
      <c r="AF581" s="102"/>
      <c r="AG581" s="102"/>
      <c r="AH581" s="102"/>
      <c r="AI581" s="102"/>
      <c r="AJ581" s="102"/>
      <c r="AK581" s="102"/>
      <c r="AL581" s="102"/>
      <c r="AM581" s="102"/>
      <c r="AN581" s="102"/>
      <c r="AO581" s="102"/>
      <c r="AP581" s="102"/>
      <c r="AQ581" s="102"/>
      <c r="AR581" s="102"/>
      <c r="AS581" s="102"/>
      <c r="AT581" s="102"/>
      <c r="AU581" s="102"/>
    </row>
    <row r="582" spans="1:47" s="78" customFormat="1" ht="12.6" customHeight="1" x14ac:dyDescent="0.3">
      <c r="A582" s="102"/>
      <c r="V582" s="102"/>
      <c r="W582" s="102"/>
      <c r="X582" s="102"/>
      <c r="Y582" s="102"/>
      <c r="Z582" s="102"/>
      <c r="AA582" s="102"/>
      <c r="AB582" s="102"/>
      <c r="AC582" s="102"/>
      <c r="AD582" s="102"/>
      <c r="AE582" s="102"/>
      <c r="AF582" s="102"/>
      <c r="AG582" s="102"/>
      <c r="AH582" s="102"/>
      <c r="AI582" s="102"/>
      <c r="AJ582" s="102"/>
      <c r="AK582" s="102"/>
      <c r="AL582" s="102"/>
      <c r="AM582" s="102"/>
      <c r="AN582" s="102"/>
      <c r="AO582" s="102"/>
      <c r="AP582" s="102"/>
      <c r="AQ582" s="102"/>
      <c r="AR582" s="102"/>
      <c r="AS582" s="102"/>
      <c r="AT582" s="102"/>
      <c r="AU582" s="102"/>
    </row>
    <row r="583" spans="1:47" s="78" customFormat="1" ht="12.6" customHeight="1" x14ac:dyDescent="0.3">
      <c r="A583" s="102"/>
      <c r="V583" s="102"/>
      <c r="W583" s="102"/>
      <c r="X583" s="102"/>
      <c r="Y583" s="102"/>
      <c r="Z583" s="102"/>
      <c r="AA583" s="102"/>
      <c r="AB583" s="102"/>
      <c r="AC583" s="102"/>
      <c r="AD583" s="102"/>
      <c r="AE583" s="102"/>
      <c r="AF583" s="102"/>
      <c r="AG583" s="102"/>
      <c r="AH583" s="102"/>
      <c r="AI583" s="102"/>
      <c r="AJ583" s="102"/>
      <c r="AK583" s="102"/>
      <c r="AL583" s="102"/>
      <c r="AM583" s="102"/>
      <c r="AN583" s="102"/>
      <c r="AO583" s="102"/>
      <c r="AP583" s="102"/>
      <c r="AQ583" s="102"/>
      <c r="AR583" s="102"/>
      <c r="AS583" s="102"/>
      <c r="AT583" s="102"/>
      <c r="AU583" s="102"/>
    </row>
    <row r="584" spans="1:47" s="78" customFormat="1" ht="12.6" customHeight="1" x14ac:dyDescent="0.3">
      <c r="A584" s="102"/>
      <c r="V584" s="102"/>
      <c r="W584" s="102"/>
      <c r="X584" s="102"/>
      <c r="Y584" s="102"/>
      <c r="Z584" s="102"/>
      <c r="AA584" s="102"/>
      <c r="AB584" s="102"/>
      <c r="AC584" s="102"/>
      <c r="AD584" s="102"/>
      <c r="AE584" s="102"/>
      <c r="AF584" s="102"/>
      <c r="AG584" s="102"/>
      <c r="AH584" s="102"/>
      <c r="AI584" s="102"/>
      <c r="AJ584" s="102"/>
      <c r="AK584" s="102"/>
      <c r="AL584" s="102"/>
      <c r="AM584" s="102"/>
      <c r="AN584" s="102"/>
      <c r="AO584" s="102"/>
      <c r="AP584" s="102"/>
      <c r="AQ584" s="102"/>
      <c r="AR584" s="102"/>
      <c r="AS584" s="102"/>
      <c r="AT584" s="102"/>
      <c r="AU584" s="102"/>
    </row>
    <row r="585" spans="1:47" s="78" customFormat="1" ht="12.6" customHeight="1" x14ac:dyDescent="0.3">
      <c r="A585" s="102"/>
      <c r="V585" s="102"/>
      <c r="W585" s="102"/>
      <c r="X585" s="102"/>
      <c r="Y585" s="102"/>
      <c r="Z585" s="102"/>
      <c r="AA585" s="102"/>
      <c r="AB585" s="102"/>
      <c r="AC585" s="102"/>
      <c r="AD585" s="102"/>
      <c r="AE585" s="102"/>
      <c r="AF585" s="102"/>
      <c r="AG585" s="102"/>
      <c r="AH585" s="102"/>
      <c r="AI585" s="102"/>
      <c r="AJ585" s="102"/>
      <c r="AK585" s="102"/>
      <c r="AL585" s="102"/>
      <c r="AM585" s="102"/>
      <c r="AN585" s="102"/>
      <c r="AO585" s="102"/>
      <c r="AP585" s="102"/>
      <c r="AQ585" s="102"/>
      <c r="AR585" s="102"/>
      <c r="AS585" s="102"/>
      <c r="AT585" s="102"/>
      <c r="AU585" s="102"/>
    </row>
    <row r="586" spans="1:47" s="78" customFormat="1" ht="12.6" customHeight="1" x14ac:dyDescent="0.3">
      <c r="A586" s="102"/>
      <c r="V586" s="102"/>
      <c r="W586" s="102"/>
      <c r="X586" s="102"/>
      <c r="Y586" s="102"/>
      <c r="Z586" s="102"/>
      <c r="AA586" s="102"/>
      <c r="AB586" s="102"/>
      <c r="AC586" s="102"/>
      <c r="AD586" s="102"/>
      <c r="AE586" s="102"/>
      <c r="AF586" s="102"/>
      <c r="AG586" s="102"/>
      <c r="AH586" s="102"/>
      <c r="AI586" s="102"/>
      <c r="AJ586" s="102"/>
      <c r="AK586" s="102"/>
      <c r="AL586" s="102"/>
      <c r="AM586" s="102"/>
      <c r="AN586" s="102"/>
      <c r="AO586" s="102"/>
      <c r="AP586" s="102"/>
      <c r="AQ586" s="102"/>
      <c r="AR586" s="102"/>
      <c r="AS586" s="102"/>
      <c r="AT586" s="102"/>
      <c r="AU586" s="102"/>
    </row>
    <row r="587" spans="1:47" s="78" customFormat="1" ht="12.6" customHeight="1" x14ac:dyDescent="0.3">
      <c r="A587" s="102"/>
      <c r="V587" s="102"/>
      <c r="W587" s="102"/>
      <c r="X587" s="102"/>
      <c r="Y587" s="102"/>
      <c r="Z587" s="102"/>
      <c r="AA587" s="102"/>
      <c r="AB587" s="102"/>
      <c r="AC587" s="102"/>
      <c r="AD587" s="102"/>
      <c r="AE587" s="102"/>
      <c r="AF587" s="102"/>
      <c r="AG587" s="102"/>
      <c r="AH587" s="102"/>
      <c r="AI587" s="102"/>
      <c r="AJ587" s="102"/>
      <c r="AK587" s="102"/>
      <c r="AL587" s="102"/>
      <c r="AM587" s="102"/>
      <c r="AN587" s="102"/>
      <c r="AO587" s="102"/>
      <c r="AP587" s="102"/>
      <c r="AQ587" s="102"/>
      <c r="AR587" s="102"/>
      <c r="AS587" s="102"/>
      <c r="AT587" s="102"/>
      <c r="AU587" s="102"/>
    </row>
    <row r="588" spans="1:47" s="78" customFormat="1" ht="12.6" customHeight="1" x14ac:dyDescent="0.3">
      <c r="A588" s="102"/>
      <c r="V588" s="102"/>
      <c r="W588" s="102"/>
      <c r="X588" s="102"/>
      <c r="Y588" s="102"/>
      <c r="Z588" s="102"/>
      <c r="AA588" s="102"/>
      <c r="AB588" s="102"/>
      <c r="AC588" s="102"/>
      <c r="AD588" s="102"/>
      <c r="AE588" s="102"/>
      <c r="AF588" s="102"/>
      <c r="AG588" s="102"/>
      <c r="AH588" s="102"/>
      <c r="AI588" s="102"/>
      <c r="AJ588" s="102"/>
      <c r="AK588" s="102"/>
      <c r="AL588" s="102"/>
      <c r="AM588" s="102"/>
      <c r="AN588" s="102"/>
      <c r="AO588" s="102"/>
      <c r="AP588" s="102"/>
      <c r="AQ588" s="102"/>
      <c r="AR588" s="102"/>
      <c r="AS588" s="102"/>
      <c r="AT588" s="102"/>
      <c r="AU588" s="102"/>
    </row>
    <row r="589" spans="1:47" s="78" customFormat="1" ht="12.6" customHeight="1" x14ac:dyDescent="0.3">
      <c r="A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row>
    <row r="590" spans="1:47" s="78" customFormat="1" ht="12.6" customHeight="1" x14ac:dyDescent="0.3">
      <c r="A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row>
    <row r="591" spans="1:47" s="78" customFormat="1" ht="12.6" customHeight="1" x14ac:dyDescent="0.3">
      <c r="A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row>
    <row r="592" spans="1:47" s="78" customFormat="1" ht="12.6" customHeight="1" x14ac:dyDescent="0.3">
      <c r="A592" s="102"/>
      <c r="V592" s="102"/>
      <c r="W592" s="102"/>
      <c r="X592" s="102"/>
      <c r="Y592" s="102"/>
      <c r="Z592" s="102"/>
      <c r="AA592" s="102"/>
      <c r="AB592" s="102"/>
      <c r="AC592" s="102"/>
      <c r="AD592" s="102"/>
      <c r="AE592" s="102"/>
      <c r="AF592" s="102"/>
      <c r="AG592" s="102"/>
      <c r="AH592" s="102"/>
      <c r="AI592" s="102"/>
      <c r="AJ592" s="102"/>
      <c r="AK592" s="102"/>
      <c r="AL592" s="102"/>
      <c r="AM592" s="102"/>
      <c r="AN592" s="102"/>
      <c r="AO592" s="102"/>
      <c r="AP592" s="102"/>
      <c r="AQ592" s="102"/>
      <c r="AR592" s="102"/>
      <c r="AS592" s="102"/>
      <c r="AT592" s="102"/>
      <c r="AU592" s="102"/>
    </row>
    <row r="593" spans="1:47" s="78" customFormat="1" ht="12.6" customHeight="1" x14ac:dyDescent="0.3">
      <c r="A593" s="102"/>
      <c r="V593" s="102"/>
      <c r="W593" s="102"/>
      <c r="X593" s="102"/>
      <c r="Y593" s="102"/>
      <c r="Z593" s="102"/>
      <c r="AA593" s="102"/>
      <c r="AB593" s="102"/>
      <c r="AC593" s="102"/>
      <c r="AD593" s="102"/>
      <c r="AE593" s="102"/>
      <c r="AF593" s="102"/>
      <c r="AG593" s="102"/>
      <c r="AH593" s="102"/>
      <c r="AI593" s="102"/>
      <c r="AJ593" s="102"/>
      <c r="AK593" s="102"/>
      <c r="AL593" s="102"/>
      <c r="AM593" s="102"/>
      <c r="AN593" s="102"/>
      <c r="AO593" s="102"/>
      <c r="AP593" s="102"/>
      <c r="AQ593" s="102"/>
      <c r="AR593" s="102"/>
      <c r="AS593" s="102"/>
      <c r="AT593" s="102"/>
      <c r="AU593" s="102"/>
    </row>
    <row r="594" spans="1:47" s="78" customFormat="1" ht="12.6" customHeight="1" x14ac:dyDescent="0.3">
      <c r="A594" s="102"/>
      <c r="V594" s="102"/>
      <c r="W594" s="102"/>
      <c r="X594" s="102"/>
      <c r="Y594" s="102"/>
      <c r="Z594" s="102"/>
      <c r="AA594" s="102"/>
      <c r="AB594" s="102"/>
      <c r="AC594" s="102"/>
      <c r="AD594" s="102"/>
      <c r="AE594" s="102"/>
      <c r="AF594" s="102"/>
      <c r="AG594" s="102"/>
      <c r="AH594" s="102"/>
      <c r="AI594" s="102"/>
      <c r="AJ594" s="102"/>
      <c r="AK594" s="102"/>
      <c r="AL594" s="102"/>
      <c r="AM594" s="102"/>
      <c r="AN594" s="102"/>
      <c r="AO594" s="102"/>
      <c r="AP594" s="102"/>
      <c r="AQ594" s="102"/>
      <c r="AR594" s="102"/>
      <c r="AS594" s="102"/>
      <c r="AT594" s="102"/>
      <c r="AU594" s="102"/>
    </row>
    <row r="595" spans="1:47" s="78" customFormat="1" ht="12.6" customHeight="1" x14ac:dyDescent="0.3">
      <c r="A595" s="102"/>
      <c r="V595" s="102"/>
      <c r="W595" s="102"/>
      <c r="X595" s="102"/>
      <c r="Y595" s="102"/>
      <c r="Z595" s="102"/>
      <c r="AA595" s="102"/>
      <c r="AB595" s="102"/>
      <c r="AC595" s="102"/>
      <c r="AD595" s="102"/>
      <c r="AE595" s="102"/>
      <c r="AF595" s="102"/>
      <c r="AG595" s="102"/>
      <c r="AH595" s="102"/>
      <c r="AI595" s="102"/>
      <c r="AJ595" s="102"/>
      <c r="AK595" s="102"/>
      <c r="AL595" s="102"/>
      <c r="AM595" s="102"/>
      <c r="AN595" s="102"/>
      <c r="AO595" s="102"/>
      <c r="AP595" s="102"/>
      <c r="AQ595" s="102"/>
      <c r="AR595" s="102"/>
      <c r="AS595" s="102"/>
      <c r="AT595" s="102"/>
      <c r="AU595" s="102"/>
    </row>
    <row r="596" spans="1:47" s="78" customFormat="1" ht="12.6" customHeight="1" x14ac:dyDescent="0.3">
      <c r="A596" s="102"/>
      <c r="V596" s="102"/>
      <c r="W596" s="102"/>
      <c r="X596" s="102"/>
      <c r="Y596" s="102"/>
      <c r="Z596" s="102"/>
      <c r="AA596" s="102"/>
      <c r="AB596" s="102"/>
      <c r="AC596" s="102"/>
      <c r="AD596" s="102"/>
      <c r="AE596" s="102"/>
      <c r="AF596" s="102"/>
      <c r="AG596" s="102"/>
      <c r="AH596" s="102"/>
      <c r="AI596" s="102"/>
      <c r="AJ596" s="102"/>
      <c r="AK596" s="102"/>
      <c r="AL596" s="102"/>
      <c r="AM596" s="102"/>
      <c r="AN596" s="102"/>
      <c r="AO596" s="102"/>
      <c r="AP596" s="102"/>
      <c r="AQ596" s="102"/>
      <c r="AR596" s="102"/>
      <c r="AS596" s="102"/>
      <c r="AT596" s="102"/>
      <c r="AU596" s="102"/>
    </row>
    <row r="597" spans="1:47" s="78" customFormat="1" ht="12.6" customHeight="1" x14ac:dyDescent="0.3">
      <c r="A597" s="102"/>
      <c r="V597" s="102"/>
      <c r="W597" s="102"/>
      <c r="X597" s="102"/>
      <c r="Y597" s="102"/>
      <c r="Z597" s="102"/>
      <c r="AA597" s="102"/>
      <c r="AB597" s="102"/>
      <c r="AC597" s="102"/>
      <c r="AD597" s="102"/>
      <c r="AE597" s="102"/>
      <c r="AF597" s="102"/>
      <c r="AG597" s="102"/>
      <c r="AH597" s="102"/>
      <c r="AI597" s="102"/>
      <c r="AJ597" s="102"/>
      <c r="AK597" s="102"/>
      <c r="AL597" s="102"/>
      <c r="AM597" s="102"/>
      <c r="AN597" s="102"/>
      <c r="AO597" s="102"/>
      <c r="AP597" s="102"/>
      <c r="AQ597" s="102"/>
      <c r="AR597" s="102"/>
      <c r="AS597" s="102"/>
      <c r="AT597" s="102"/>
      <c r="AU597" s="102"/>
    </row>
    <row r="598" spans="1:47" s="78" customFormat="1" ht="12.6" customHeight="1" x14ac:dyDescent="0.3">
      <c r="A598" s="102"/>
      <c r="V598" s="102"/>
      <c r="W598" s="102"/>
      <c r="X598" s="102"/>
      <c r="Y598" s="102"/>
      <c r="Z598" s="102"/>
      <c r="AA598" s="102"/>
      <c r="AB598" s="102"/>
      <c r="AC598" s="102"/>
      <c r="AD598" s="102"/>
      <c r="AE598" s="102"/>
      <c r="AF598" s="102"/>
      <c r="AG598" s="102"/>
      <c r="AH598" s="102"/>
      <c r="AI598" s="102"/>
      <c r="AJ598" s="102"/>
      <c r="AK598" s="102"/>
      <c r="AL598" s="102"/>
      <c r="AM598" s="102"/>
      <c r="AN598" s="102"/>
      <c r="AO598" s="102"/>
      <c r="AP598" s="102"/>
      <c r="AQ598" s="102"/>
      <c r="AR598" s="102"/>
      <c r="AS598" s="102"/>
      <c r="AT598" s="102"/>
      <c r="AU598" s="102"/>
    </row>
    <row r="599" spans="1:47" s="78" customFormat="1" ht="12.6" customHeight="1" x14ac:dyDescent="0.3">
      <c r="A599" s="102"/>
      <c r="V599" s="102"/>
      <c r="W599" s="102"/>
      <c r="X599" s="102"/>
      <c r="Y599" s="102"/>
      <c r="Z599" s="102"/>
      <c r="AA599" s="102"/>
      <c r="AB599" s="102"/>
      <c r="AC599" s="102"/>
      <c r="AD599" s="102"/>
      <c r="AE599" s="102"/>
      <c r="AF599" s="102"/>
      <c r="AG599" s="102"/>
      <c r="AH599" s="102"/>
      <c r="AI599" s="102"/>
      <c r="AJ599" s="102"/>
      <c r="AK599" s="102"/>
      <c r="AL599" s="102"/>
      <c r="AM599" s="102"/>
      <c r="AN599" s="102"/>
      <c r="AO599" s="102"/>
      <c r="AP599" s="102"/>
      <c r="AQ599" s="102"/>
      <c r="AR599" s="102"/>
      <c r="AS599" s="102"/>
      <c r="AT599" s="102"/>
      <c r="AU599" s="102"/>
    </row>
    <row r="600" spans="1:47" s="78" customFormat="1" ht="12.6" customHeight="1" x14ac:dyDescent="0.3">
      <c r="A600" s="102"/>
      <c r="V600" s="102"/>
      <c r="W600" s="102"/>
      <c r="X600" s="102"/>
      <c r="Y600" s="102"/>
      <c r="Z600" s="102"/>
      <c r="AA600" s="102"/>
      <c r="AB600" s="102"/>
      <c r="AC600" s="102"/>
      <c r="AD600" s="102"/>
      <c r="AE600" s="102"/>
      <c r="AF600" s="102"/>
      <c r="AG600" s="102"/>
      <c r="AH600" s="102"/>
      <c r="AI600" s="102"/>
      <c r="AJ600" s="102"/>
      <c r="AK600" s="102"/>
      <c r="AL600" s="102"/>
      <c r="AM600" s="102"/>
      <c r="AN600" s="102"/>
      <c r="AO600" s="102"/>
      <c r="AP600" s="102"/>
      <c r="AQ600" s="102"/>
      <c r="AR600" s="102"/>
      <c r="AS600" s="102"/>
      <c r="AT600" s="102"/>
      <c r="AU600" s="102"/>
    </row>
    <row r="601" spans="1:47" s="78" customFormat="1" ht="12.6" customHeight="1" x14ac:dyDescent="0.3">
      <c r="A601" s="102"/>
      <c r="V601" s="102"/>
      <c r="W601" s="102"/>
      <c r="X601" s="102"/>
      <c r="Y601" s="102"/>
      <c r="Z601" s="102"/>
      <c r="AA601" s="102"/>
      <c r="AB601" s="102"/>
      <c r="AC601" s="102"/>
      <c r="AD601" s="102"/>
      <c r="AE601" s="102"/>
      <c r="AF601" s="102"/>
      <c r="AG601" s="102"/>
      <c r="AH601" s="102"/>
      <c r="AI601" s="102"/>
      <c r="AJ601" s="102"/>
      <c r="AK601" s="102"/>
      <c r="AL601" s="102"/>
      <c r="AM601" s="102"/>
      <c r="AN601" s="102"/>
      <c r="AO601" s="102"/>
      <c r="AP601" s="102"/>
      <c r="AQ601" s="102"/>
      <c r="AR601" s="102"/>
      <c r="AS601" s="102"/>
      <c r="AT601" s="102"/>
      <c r="AU601" s="102"/>
    </row>
    <row r="602" spans="1:47" s="78" customFormat="1" ht="12.6" customHeight="1" x14ac:dyDescent="0.3">
      <c r="A602" s="102"/>
      <c r="V602" s="102"/>
      <c r="W602" s="102"/>
      <c r="X602" s="102"/>
      <c r="Y602" s="102"/>
      <c r="Z602" s="102"/>
      <c r="AA602" s="102"/>
      <c r="AB602" s="102"/>
      <c r="AC602" s="102"/>
      <c r="AD602" s="102"/>
      <c r="AE602" s="102"/>
      <c r="AF602" s="102"/>
      <c r="AG602" s="102"/>
      <c r="AH602" s="102"/>
      <c r="AI602" s="102"/>
      <c r="AJ602" s="102"/>
      <c r="AK602" s="102"/>
      <c r="AL602" s="102"/>
      <c r="AM602" s="102"/>
      <c r="AN602" s="102"/>
      <c r="AO602" s="102"/>
      <c r="AP602" s="102"/>
      <c r="AQ602" s="102"/>
      <c r="AR602" s="102"/>
      <c r="AS602" s="102"/>
      <c r="AT602" s="102"/>
      <c r="AU602" s="102"/>
    </row>
    <row r="603" spans="1:47" s="78" customFormat="1" ht="12.6" customHeight="1" x14ac:dyDescent="0.3">
      <c r="A603" s="102"/>
      <c r="V603" s="102"/>
      <c r="W603" s="102"/>
      <c r="X603" s="102"/>
      <c r="Y603" s="102"/>
      <c r="Z603" s="102"/>
      <c r="AA603" s="102"/>
      <c r="AB603" s="102"/>
      <c r="AC603" s="102"/>
      <c r="AD603" s="102"/>
      <c r="AE603" s="102"/>
      <c r="AF603" s="102"/>
      <c r="AG603" s="102"/>
      <c r="AH603" s="102"/>
      <c r="AI603" s="102"/>
      <c r="AJ603" s="102"/>
      <c r="AK603" s="102"/>
      <c r="AL603" s="102"/>
      <c r="AM603" s="102"/>
      <c r="AN603" s="102"/>
      <c r="AO603" s="102"/>
      <c r="AP603" s="102"/>
      <c r="AQ603" s="102"/>
      <c r="AR603" s="102"/>
      <c r="AS603" s="102"/>
      <c r="AT603" s="102"/>
      <c r="AU603" s="102"/>
    </row>
    <row r="604" spans="1:47" s="78" customFormat="1" ht="12.6" customHeight="1" x14ac:dyDescent="0.3">
      <c r="A604" s="102"/>
      <c r="V604" s="102"/>
      <c r="W604" s="102"/>
      <c r="X604" s="102"/>
      <c r="Y604" s="102"/>
      <c r="Z604" s="102"/>
      <c r="AA604" s="102"/>
      <c r="AB604" s="102"/>
      <c r="AC604" s="102"/>
      <c r="AD604" s="102"/>
      <c r="AE604" s="102"/>
      <c r="AF604" s="102"/>
      <c r="AG604" s="102"/>
      <c r="AH604" s="102"/>
      <c r="AI604" s="102"/>
      <c r="AJ604" s="102"/>
      <c r="AK604" s="102"/>
      <c r="AL604" s="102"/>
      <c r="AM604" s="102"/>
      <c r="AN604" s="102"/>
      <c r="AO604" s="102"/>
      <c r="AP604" s="102"/>
      <c r="AQ604" s="102"/>
      <c r="AR604" s="102"/>
      <c r="AS604" s="102"/>
      <c r="AT604" s="102"/>
      <c r="AU604" s="102"/>
    </row>
    <row r="605" spans="1:47" s="78" customFormat="1" ht="12.6" customHeight="1" x14ac:dyDescent="0.3">
      <c r="A605" s="102"/>
      <c r="V605" s="102"/>
      <c r="W605" s="102"/>
      <c r="X605" s="102"/>
      <c r="Y605" s="102"/>
      <c r="Z605" s="102"/>
      <c r="AA605" s="102"/>
      <c r="AB605" s="102"/>
      <c r="AC605" s="102"/>
      <c r="AD605" s="102"/>
      <c r="AE605" s="102"/>
      <c r="AF605" s="102"/>
      <c r="AG605" s="102"/>
      <c r="AH605" s="102"/>
      <c r="AI605" s="102"/>
      <c r="AJ605" s="102"/>
      <c r="AK605" s="102"/>
      <c r="AL605" s="102"/>
      <c r="AM605" s="102"/>
      <c r="AN605" s="102"/>
      <c r="AO605" s="102"/>
      <c r="AP605" s="102"/>
      <c r="AQ605" s="102"/>
      <c r="AR605" s="102"/>
      <c r="AS605" s="102"/>
      <c r="AT605" s="102"/>
      <c r="AU605" s="102"/>
    </row>
    <row r="606" spans="1:47" s="78" customFormat="1" ht="12.6" customHeight="1" x14ac:dyDescent="0.3">
      <c r="A606" s="102"/>
      <c r="V606" s="102"/>
      <c r="W606" s="102"/>
      <c r="X606" s="102"/>
      <c r="Y606" s="102"/>
      <c r="Z606" s="102"/>
      <c r="AA606" s="102"/>
      <c r="AB606" s="102"/>
      <c r="AC606" s="102"/>
      <c r="AD606" s="102"/>
      <c r="AE606" s="102"/>
      <c r="AF606" s="102"/>
      <c r="AG606" s="102"/>
      <c r="AH606" s="102"/>
      <c r="AI606" s="102"/>
      <c r="AJ606" s="102"/>
      <c r="AK606" s="102"/>
      <c r="AL606" s="102"/>
      <c r="AM606" s="102"/>
      <c r="AN606" s="102"/>
      <c r="AO606" s="102"/>
      <c r="AP606" s="102"/>
      <c r="AQ606" s="102"/>
      <c r="AR606" s="102"/>
      <c r="AS606" s="102"/>
      <c r="AT606" s="102"/>
      <c r="AU606" s="102"/>
    </row>
    <row r="607" spans="1:47" s="78" customFormat="1" ht="12.6" customHeight="1" x14ac:dyDescent="0.3">
      <c r="A607" s="102"/>
      <c r="V607" s="102"/>
      <c r="W607" s="102"/>
      <c r="X607" s="102"/>
      <c r="Y607" s="102"/>
      <c r="Z607" s="102"/>
      <c r="AA607" s="102"/>
      <c r="AB607" s="102"/>
      <c r="AC607" s="102"/>
      <c r="AD607" s="102"/>
      <c r="AE607" s="102"/>
      <c r="AF607" s="102"/>
      <c r="AG607" s="102"/>
      <c r="AH607" s="102"/>
      <c r="AI607" s="102"/>
      <c r="AJ607" s="102"/>
      <c r="AK607" s="102"/>
      <c r="AL607" s="102"/>
      <c r="AM607" s="102"/>
      <c r="AN607" s="102"/>
      <c r="AO607" s="102"/>
      <c r="AP607" s="102"/>
      <c r="AQ607" s="102"/>
      <c r="AR607" s="102"/>
      <c r="AS607" s="102"/>
      <c r="AT607" s="102"/>
      <c r="AU607" s="102"/>
    </row>
    <row r="608" spans="1:47" s="78" customFormat="1" ht="12.6" customHeight="1" x14ac:dyDescent="0.3">
      <c r="A608" s="102"/>
      <c r="V608" s="102"/>
      <c r="W608" s="102"/>
      <c r="X608" s="102"/>
      <c r="Y608" s="102"/>
      <c r="Z608" s="102"/>
      <c r="AA608" s="102"/>
      <c r="AB608" s="102"/>
      <c r="AC608" s="102"/>
      <c r="AD608" s="102"/>
      <c r="AE608" s="102"/>
      <c r="AF608" s="102"/>
      <c r="AG608" s="102"/>
      <c r="AH608" s="102"/>
      <c r="AI608" s="102"/>
      <c r="AJ608" s="102"/>
      <c r="AK608" s="102"/>
      <c r="AL608" s="102"/>
      <c r="AM608" s="102"/>
      <c r="AN608" s="102"/>
      <c r="AO608" s="102"/>
      <c r="AP608" s="102"/>
      <c r="AQ608" s="102"/>
      <c r="AR608" s="102"/>
      <c r="AS608" s="102"/>
      <c r="AT608" s="102"/>
      <c r="AU608" s="102"/>
    </row>
    <row r="609" spans="1:47" s="78" customFormat="1" ht="12.6" customHeight="1" x14ac:dyDescent="0.3">
      <c r="A609" s="102"/>
      <c r="V609" s="102"/>
      <c r="W609" s="102"/>
      <c r="X609" s="102"/>
      <c r="Y609" s="102"/>
      <c r="Z609" s="102"/>
      <c r="AA609" s="102"/>
      <c r="AB609" s="102"/>
      <c r="AC609" s="102"/>
      <c r="AD609" s="102"/>
      <c r="AE609" s="102"/>
      <c r="AF609" s="102"/>
      <c r="AG609" s="102"/>
      <c r="AH609" s="102"/>
      <c r="AI609" s="102"/>
      <c r="AJ609" s="102"/>
      <c r="AK609" s="102"/>
      <c r="AL609" s="102"/>
      <c r="AM609" s="102"/>
      <c r="AN609" s="102"/>
      <c r="AO609" s="102"/>
      <c r="AP609" s="102"/>
      <c r="AQ609" s="102"/>
      <c r="AR609" s="102"/>
      <c r="AS609" s="102"/>
      <c r="AT609" s="102"/>
      <c r="AU609" s="102"/>
    </row>
    <row r="610" spans="1:47" s="78" customFormat="1" ht="12.6" customHeight="1" x14ac:dyDescent="0.3">
      <c r="A610" s="102"/>
      <c r="V610" s="102"/>
      <c r="W610" s="102"/>
      <c r="X610" s="102"/>
      <c r="Y610" s="102"/>
      <c r="Z610" s="102"/>
      <c r="AA610" s="102"/>
      <c r="AB610" s="102"/>
      <c r="AC610" s="102"/>
      <c r="AD610" s="102"/>
      <c r="AE610" s="102"/>
      <c r="AF610" s="102"/>
      <c r="AG610" s="102"/>
      <c r="AH610" s="102"/>
      <c r="AI610" s="102"/>
      <c r="AJ610" s="102"/>
      <c r="AK610" s="102"/>
      <c r="AL610" s="102"/>
      <c r="AM610" s="102"/>
      <c r="AN610" s="102"/>
      <c r="AO610" s="102"/>
      <c r="AP610" s="102"/>
      <c r="AQ610" s="102"/>
      <c r="AR610" s="102"/>
      <c r="AS610" s="102"/>
      <c r="AT610" s="102"/>
      <c r="AU610" s="102"/>
    </row>
    <row r="611" spans="1:47" s="78" customFormat="1" ht="12.6" customHeight="1" x14ac:dyDescent="0.3">
      <c r="A611" s="102"/>
      <c r="V611" s="102"/>
      <c r="W611" s="102"/>
      <c r="X611" s="102"/>
      <c r="Y611" s="102"/>
      <c r="Z611" s="102"/>
      <c r="AA611" s="102"/>
      <c r="AB611" s="102"/>
      <c r="AC611" s="102"/>
      <c r="AD611" s="102"/>
      <c r="AE611" s="102"/>
      <c r="AF611" s="102"/>
      <c r="AG611" s="102"/>
      <c r="AH611" s="102"/>
      <c r="AI611" s="102"/>
      <c r="AJ611" s="102"/>
      <c r="AK611" s="102"/>
      <c r="AL611" s="102"/>
      <c r="AM611" s="102"/>
      <c r="AN611" s="102"/>
      <c r="AO611" s="102"/>
      <c r="AP611" s="102"/>
      <c r="AQ611" s="102"/>
      <c r="AR611" s="102"/>
      <c r="AS611" s="102"/>
      <c r="AT611" s="102"/>
      <c r="AU611" s="102"/>
    </row>
    <row r="612" spans="1:47" s="78" customFormat="1" ht="12.6" customHeight="1" x14ac:dyDescent="0.3">
      <c r="A612" s="102"/>
      <c r="V612" s="102"/>
      <c r="W612" s="102"/>
      <c r="X612" s="102"/>
      <c r="Y612" s="102"/>
      <c r="Z612" s="102"/>
      <c r="AA612" s="102"/>
      <c r="AB612" s="102"/>
      <c r="AC612" s="102"/>
      <c r="AD612" s="102"/>
      <c r="AE612" s="102"/>
      <c r="AF612" s="102"/>
      <c r="AG612" s="102"/>
      <c r="AH612" s="102"/>
      <c r="AI612" s="102"/>
      <c r="AJ612" s="102"/>
      <c r="AK612" s="102"/>
      <c r="AL612" s="102"/>
      <c r="AM612" s="102"/>
      <c r="AN612" s="102"/>
      <c r="AO612" s="102"/>
      <c r="AP612" s="102"/>
      <c r="AQ612" s="102"/>
      <c r="AR612" s="102"/>
      <c r="AS612" s="102"/>
      <c r="AT612" s="102"/>
      <c r="AU612" s="102"/>
    </row>
    <row r="613" spans="1:47" s="78" customFormat="1" ht="12.6" customHeight="1" x14ac:dyDescent="0.3">
      <c r="A613" s="102"/>
      <c r="V613" s="102"/>
      <c r="W613" s="102"/>
      <c r="X613" s="102"/>
      <c r="Y613" s="102"/>
      <c r="Z613" s="102"/>
      <c r="AA613" s="102"/>
      <c r="AB613" s="102"/>
      <c r="AC613" s="102"/>
      <c r="AD613" s="102"/>
      <c r="AE613" s="102"/>
      <c r="AF613" s="102"/>
      <c r="AG613" s="102"/>
      <c r="AH613" s="102"/>
      <c r="AI613" s="102"/>
      <c r="AJ613" s="102"/>
      <c r="AK613" s="102"/>
      <c r="AL613" s="102"/>
      <c r="AM613" s="102"/>
      <c r="AN613" s="102"/>
      <c r="AO613" s="102"/>
      <c r="AP613" s="102"/>
      <c r="AQ613" s="102"/>
      <c r="AR613" s="102"/>
      <c r="AS613" s="102"/>
      <c r="AT613" s="102"/>
      <c r="AU613" s="102"/>
    </row>
    <row r="614" spans="1:47" s="78" customFormat="1" ht="12.6" customHeight="1" x14ac:dyDescent="0.3">
      <c r="A614" s="102"/>
      <c r="V614" s="102"/>
      <c r="W614" s="102"/>
      <c r="X614" s="102"/>
      <c r="Y614" s="102"/>
      <c r="Z614" s="102"/>
      <c r="AA614" s="102"/>
      <c r="AB614" s="102"/>
      <c r="AC614" s="102"/>
      <c r="AD614" s="102"/>
      <c r="AE614" s="102"/>
      <c r="AF614" s="102"/>
      <c r="AG614" s="102"/>
      <c r="AH614" s="102"/>
      <c r="AI614" s="102"/>
      <c r="AJ614" s="102"/>
      <c r="AK614" s="102"/>
      <c r="AL614" s="102"/>
      <c r="AM614" s="102"/>
      <c r="AN614" s="102"/>
      <c r="AO614" s="102"/>
      <c r="AP614" s="102"/>
      <c r="AQ614" s="102"/>
      <c r="AR614" s="102"/>
      <c r="AS614" s="102"/>
      <c r="AT614" s="102"/>
      <c r="AU614" s="102"/>
    </row>
    <row r="615" spans="1:47" s="78" customFormat="1" ht="12.6" customHeight="1" x14ac:dyDescent="0.3">
      <c r="A615" s="102"/>
      <c r="V615" s="102"/>
      <c r="W615" s="102"/>
      <c r="X615" s="102"/>
      <c r="Y615" s="102"/>
      <c r="Z615" s="102"/>
      <c r="AA615" s="102"/>
      <c r="AB615" s="102"/>
      <c r="AC615" s="102"/>
      <c r="AD615" s="102"/>
      <c r="AE615" s="102"/>
      <c r="AF615" s="102"/>
      <c r="AG615" s="102"/>
      <c r="AH615" s="102"/>
      <c r="AI615" s="102"/>
      <c r="AJ615" s="102"/>
      <c r="AK615" s="102"/>
      <c r="AL615" s="102"/>
      <c r="AM615" s="102"/>
      <c r="AN615" s="102"/>
      <c r="AO615" s="102"/>
      <c r="AP615" s="102"/>
      <c r="AQ615" s="102"/>
      <c r="AR615" s="102"/>
      <c r="AS615" s="102"/>
      <c r="AT615" s="102"/>
      <c r="AU615" s="102"/>
    </row>
    <row r="616" spans="1:47" s="78" customFormat="1" ht="12.6" customHeight="1" x14ac:dyDescent="0.3">
      <c r="A616" s="102"/>
      <c r="V616" s="102"/>
      <c r="W616" s="102"/>
      <c r="X616" s="102"/>
      <c r="Y616" s="102"/>
      <c r="Z616" s="102"/>
      <c r="AA616" s="102"/>
      <c r="AB616" s="102"/>
      <c r="AC616" s="102"/>
      <c r="AD616" s="102"/>
      <c r="AE616" s="102"/>
      <c r="AF616" s="102"/>
      <c r="AG616" s="102"/>
      <c r="AH616" s="102"/>
      <c r="AI616" s="102"/>
      <c r="AJ616" s="102"/>
      <c r="AK616" s="102"/>
      <c r="AL616" s="102"/>
      <c r="AM616" s="102"/>
      <c r="AN616" s="102"/>
      <c r="AO616" s="102"/>
      <c r="AP616" s="102"/>
      <c r="AQ616" s="102"/>
      <c r="AR616" s="102"/>
      <c r="AS616" s="102"/>
      <c r="AT616" s="102"/>
      <c r="AU616" s="102"/>
    </row>
    <row r="617" spans="1:47" s="78" customFormat="1" ht="12.6" customHeight="1" x14ac:dyDescent="0.3">
      <c r="A617" s="102"/>
      <c r="V617" s="102"/>
      <c r="W617" s="102"/>
      <c r="X617" s="102"/>
      <c r="Y617" s="102"/>
      <c r="Z617" s="102"/>
      <c r="AA617" s="102"/>
      <c r="AB617" s="102"/>
      <c r="AC617" s="102"/>
      <c r="AD617" s="102"/>
      <c r="AE617" s="102"/>
      <c r="AF617" s="102"/>
      <c r="AG617" s="102"/>
      <c r="AH617" s="102"/>
      <c r="AI617" s="102"/>
      <c r="AJ617" s="102"/>
      <c r="AK617" s="102"/>
      <c r="AL617" s="102"/>
      <c r="AM617" s="102"/>
      <c r="AN617" s="102"/>
      <c r="AO617" s="102"/>
      <c r="AP617" s="102"/>
      <c r="AQ617" s="102"/>
      <c r="AR617" s="102"/>
      <c r="AS617" s="102"/>
      <c r="AT617" s="102"/>
      <c r="AU617" s="102"/>
    </row>
    <row r="618" spans="1:47" s="78" customFormat="1" ht="12.6" customHeight="1" x14ac:dyDescent="0.3">
      <c r="A618" s="102"/>
      <c r="V618" s="102"/>
      <c r="W618" s="102"/>
      <c r="X618" s="102"/>
      <c r="Y618" s="102"/>
      <c r="Z618" s="102"/>
      <c r="AA618" s="102"/>
      <c r="AB618" s="102"/>
      <c r="AC618" s="102"/>
      <c r="AD618" s="102"/>
      <c r="AE618" s="102"/>
      <c r="AF618" s="102"/>
      <c r="AG618" s="102"/>
      <c r="AH618" s="102"/>
      <c r="AI618" s="102"/>
      <c r="AJ618" s="102"/>
      <c r="AK618" s="102"/>
      <c r="AL618" s="102"/>
      <c r="AM618" s="102"/>
      <c r="AN618" s="102"/>
      <c r="AO618" s="102"/>
      <c r="AP618" s="102"/>
      <c r="AQ618" s="102"/>
      <c r="AR618" s="102"/>
      <c r="AS618" s="102"/>
      <c r="AT618" s="102"/>
      <c r="AU618" s="102"/>
    </row>
    <row r="619" spans="1:47" s="78" customFormat="1" ht="12.6" customHeight="1" x14ac:dyDescent="0.3">
      <c r="A619" s="102"/>
      <c r="V619" s="102"/>
      <c r="W619" s="102"/>
      <c r="X619" s="102"/>
      <c r="Y619" s="102"/>
      <c r="Z619" s="102"/>
      <c r="AA619" s="102"/>
      <c r="AB619" s="102"/>
      <c r="AC619" s="102"/>
      <c r="AD619" s="102"/>
      <c r="AE619" s="102"/>
      <c r="AF619" s="102"/>
      <c r="AG619" s="102"/>
      <c r="AH619" s="102"/>
      <c r="AI619" s="102"/>
      <c r="AJ619" s="102"/>
      <c r="AK619" s="102"/>
      <c r="AL619" s="102"/>
      <c r="AM619" s="102"/>
      <c r="AN619" s="102"/>
      <c r="AO619" s="102"/>
      <c r="AP619" s="102"/>
      <c r="AQ619" s="102"/>
      <c r="AR619" s="102"/>
      <c r="AS619" s="102"/>
      <c r="AT619" s="102"/>
      <c r="AU619" s="102"/>
    </row>
    <row r="620" spans="1:47" s="78" customFormat="1" ht="12.6" customHeight="1" x14ac:dyDescent="0.3">
      <c r="A620" s="102"/>
      <c r="V620" s="102"/>
      <c r="W620" s="102"/>
      <c r="X620" s="102"/>
      <c r="Y620" s="102"/>
      <c r="Z620" s="102"/>
      <c r="AA620" s="102"/>
      <c r="AB620" s="102"/>
      <c r="AC620" s="102"/>
      <c r="AD620" s="102"/>
      <c r="AE620" s="102"/>
      <c r="AF620" s="102"/>
      <c r="AG620" s="102"/>
      <c r="AH620" s="102"/>
      <c r="AI620" s="102"/>
      <c r="AJ620" s="102"/>
      <c r="AK620" s="102"/>
      <c r="AL620" s="102"/>
      <c r="AM620" s="102"/>
      <c r="AN620" s="102"/>
      <c r="AO620" s="102"/>
      <c r="AP620" s="102"/>
      <c r="AQ620" s="102"/>
      <c r="AR620" s="102"/>
      <c r="AS620" s="102"/>
      <c r="AT620" s="102"/>
      <c r="AU620" s="102"/>
    </row>
    <row r="621" spans="1:47" s="78" customFormat="1" ht="12.6" customHeight="1" x14ac:dyDescent="0.3">
      <c r="A621" s="102"/>
      <c r="V621" s="102"/>
      <c r="W621" s="102"/>
      <c r="X621" s="102"/>
      <c r="Y621" s="102"/>
      <c r="Z621" s="102"/>
      <c r="AA621" s="102"/>
      <c r="AB621" s="102"/>
      <c r="AC621" s="102"/>
      <c r="AD621" s="102"/>
      <c r="AE621" s="102"/>
      <c r="AF621" s="102"/>
      <c r="AG621" s="102"/>
      <c r="AH621" s="102"/>
      <c r="AI621" s="102"/>
      <c r="AJ621" s="102"/>
      <c r="AK621" s="102"/>
      <c r="AL621" s="102"/>
      <c r="AM621" s="102"/>
      <c r="AN621" s="102"/>
      <c r="AO621" s="102"/>
      <c r="AP621" s="102"/>
      <c r="AQ621" s="102"/>
      <c r="AR621" s="102"/>
      <c r="AS621" s="102"/>
      <c r="AT621" s="102"/>
      <c r="AU621" s="102"/>
    </row>
    <row r="622" spans="1:47" s="78" customFormat="1" ht="12.6" customHeight="1" x14ac:dyDescent="0.3">
      <c r="A622" s="102"/>
      <c r="V622" s="102"/>
      <c r="W622" s="102"/>
      <c r="X622" s="102"/>
      <c r="Y622" s="102"/>
      <c r="Z622" s="102"/>
      <c r="AA622" s="102"/>
      <c r="AB622" s="102"/>
      <c r="AC622" s="102"/>
      <c r="AD622" s="102"/>
      <c r="AE622" s="102"/>
      <c r="AF622" s="102"/>
      <c r="AG622" s="102"/>
      <c r="AH622" s="102"/>
      <c r="AI622" s="102"/>
      <c r="AJ622" s="102"/>
      <c r="AK622" s="102"/>
      <c r="AL622" s="102"/>
      <c r="AM622" s="102"/>
      <c r="AN622" s="102"/>
      <c r="AO622" s="102"/>
      <c r="AP622" s="102"/>
      <c r="AQ622" s="102"/>
      <c r="AR622" s="102"/>
      <c r="AS622" s="102"/>
      <c r="AT622" s="102"/>
      <c r="AU622" s="102"/>
    </row>
    <row r="623" spans="1:47" s="78" customFormat="1" ht="12.6" customHeight="1" x14ac:dyDescent="0.3">
      <c r="A623" s="102"/>
      <c r="V623" s="102"/>
      <c r="W623" s="102"/>
      <c r="X623" s="102"/>
      <c r="Y623" s="102"/>
      <c r="Z623" s="102"/>
      <c r="AA623" s="102"/>
      <c r="AB623" s="102"/>
      <c r="AC623" s="102"/>
      <c r="AD623" s="102"/>
      <c r="AE623" s="102"/>
      <c r="AF623" s="102"/>
      <c r="AG623" s="102"/>
      <c r="AH623" s="102"/>
      <c r="AI623" s="102"/>
      <c r="AJ623" s="102"/>
      <c r="AK623" s="102"/>
      <c r="AL623" s="102"/>
      <c r="AM623" s="102"/>
      <c r="AN623" s="102"/>
      <c r="AO623" s="102"/>
      <c r="AP623" s="102"/>
      <c r="AQ623" s="102"/>
      <c r="AR623" s="102"/>
      <c r="AS623" s="102"/>
      <c r="AT623" s="102"/>
      <c r="AU623" s="102"/>
    </row>
    <row r="624" spans="1:47" s="78" customFormat="1" ht="12.6" customHeight="1" x14ac:dyDescent="0.3">
      <c r="A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row>
    <row r="625" spans="1:47" s="78" customFormat="1" ht="12.6" customHeight="1" x14ac:dyDescent="0.3">
      <c r="A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row>
    <row r="626" spans="1:47" s="78" customFormat="1" ht="12.6" customHeight="1" x14ac:dyDescent="0.3">
      <c r="A626" s="102"/>
      <c r="V626" s="102"/>
      <c r="W626" s="102"/>
      <c r="X626" s="102"/>
      <c r="Y626" s="102"/>
      <c r="Z626" s="102"/>
      <c r="AA626" s="102"/>
      <c r="AB626" s="102"/>
      <c r="AC626" s="102"/>
      <c r="AD626" s="102"/>
      <c r="AE626" s="102"/>
      <c r="AF626" s="102"/>
      <c r="AG626" s="102"/>
      <c r="AH626" s="102"/>
      <c r="AI626" s="102"/>
      <c r="AJ626" s="102"/>
      <c r="AK626" s="102"/>
      <c r="AL626" s="102"/>
      <c r="AM626" s="102"/>
      <c r="AN626" s="102"/>
      <c r="AO626" s="102"/>
      <c r="AP626" s="102"/>
      <c r="AQ626" s="102"/>
      <c r="AR626" s="102"/>
      <c r="AS626" s="102"/>
      <c r="AT626" s="102"/>
      <c r="AU626" s="102"/>
    </row>
    <row r="627" spans="1:47" s="78" customFormat="1" ht="12.6" customHeight="1" x14ac:dyDescent="0.3">
      <c r="A627" s="102"/>
      <c r="V627" s="102"/>
      <c r="W627" s="102"/>
      <c r="X627" s="102"/>
      <c r="Y627" s="102"/>
      <c r="Z627" s="102"/>
      <c r="AA627" s="102"/>
      <c r="AB627" s="102"/>
      <c r="AC627" s="102"/>
      <c r="AD627" s="102"/>
      <c r="AE627" s="102"/>
      <c r="AF627" s="102"/>
      <c r="AG627" s="102"/>
      <c r="AH627" s="102"/>
      <c r="AI627" s="102"/>
      <c r="AJ627" s="102"/>
      <c r="AK627" s="102"/>
      <c r="AL627" s="102"/>
      <c r="AM627" s="102"/>
      <c r="AN627" s="102"/>
      <c r="AO627" s="102"/>
      <c r="AP627" s="102"/>
      <c r="AQ627" s="102"/>
      <c r="AR627" s="102"/>
      <c r="AS627" s="102"/>
      <c r="AT627" s="102"/>
      <c r="AU627" s="102"/>
    </row>
    <row r="628" spans="1:47" s="78" customFormat="1" ht="12.6" customHeight="1" x14ac:dyDescent="0.3">
      <c r="A628" s="102"/>
      <c r="V628" s="102"/>
      <c r="W628" s="102"/>
      <c r="X628" s="102"/>
      <c r="Y628" s="102"/>
      <c r="Z628" s="102"/>
      <c r="AA628" s="102"/>
      <c r="AB628" s="102"/>
      <c r="AC628" s="102"/>
      <c r="AD628" s="102"/>
      <c r="AE628" s="102"/>
      <c r="AF628" s="102"/>
      <c r="AG628" s="102"/>
      <c r="AH628" s="102"/>
      <c r="AI628" s="102"/>
      <c r="AJ628" s="102"/>
      <c r="AK628" s="102"/>
      <c r="AL628" s="102"/>
      <c r="AM628" s="102"/>
      <c r="AN628" s="102"/>
      <c r="AO628" s="102"/>
      <c r="AP628" s="102"/>
      <c r="AQ628" s="102"/>
      <c r="AR628" s="102"/>
      <c r="AS628" s="102"/>
      <c r="AT628" s="102"/>
      <c r="AU628" s="102"/>
    </row>
    <row r="629" spans="1:47" s="78" customFormat="1" ht="12.6" customHeight="1" x14ac:dyDescent="0.3">
      <c r="A629" s="102"/>
      <c r="V629" s="102"/>
      <c r="W629" s="102"/>
      <c r="X629" s="102"/>
      <c r="Y629" s="102"/>
      <c r="Z629" s="102"/>
      <c r="AA629" s="102"/>
      <c r="AB629" s="102"/>
      <c r="AC629" s="102"/>
      <c r="AD629" s="102"/>
      <c r="AE629" s="102"/>
      <c r="AF629" s="102"/>
      <c r="AG629" s="102"/>
      <c r="AH629" s="102"/>
      <c r="AI629" s="102"/>
      <c r="AJ629" s="102"/>
      <c r="AK629" s="102"/>
      <c r="AL629" s="102"/>
      <c r="AM629" s="102"/>
      <c r="AN629" s="102"/>
      <c r="AO629" s="102"/>
      <c r="AP629" s="102"/>
      <c r="AQ629" s="102"/>
      <c r="AR629" s="102"/>
      <c r="AS629" s="102"/>
      <c r="AT629" s="102"/>
      <c r="AU629" s="102"/>
    </row>
    <row r="630" spans="1:47" s="78" customFormat="1" ht="12.6" customHeight="1" x14ac:dyDescent="0.3">
      <c r="A630" s="102"/>
      <c r="V630" s="102"/>
      <c r="W630" s="102"/>
      <c r="X630" s="102"/>
      <c r="Y630" s="102"/>
      <c r="Z630" s="102"/>
      <c r="AA630" s="102"/>
      <c r="AB630" s="102"/>
      <c r="AC630" s="102"/>
      <c r="AD630" s="102"/>
      <c r="AE630" s="102"/>
      <c r="AF630" s="102"/>
      <c r="AG630" s="102"/>
      <c r="AH630" s="102"/>
      <c r="AI630" s="102"/>
      <c r="AJ630" s="102"/>
      <c r="AK630" s="102"/>
      <c r="AL630" s="102"/>
      <c r="AM630" s="102"/>
      <c r="AN630" s="102"/>
      <c r="AO630" s="102"/>
      <c r="AP630" s="102"/>
      <c r="AQ630" s="102"/>
      <c r="AR630" s="102"/>
      <c r="AS630" s="102"/>
      <c r="AT630" s="102"/>
      <c r="AU630" s="102"/>
    </row>
    <row r="631" spans="1:47" s="78" customFormat="1" ht="12.6" customHeight="1" x14ac:dyDescent="0.3">
      <c r="A631" s="102"/>
      <c r="V631" s="102"/>
      <c r="W631" s="102"/>
      <c r="X631" s="102"/>
      <c r="Y631" s="102"/>
      <c r="Z631" s="102"/>
      <c r="AA631" s="102"/>
      <c r="AB631" s="102"/>
      <c r="AC631" s="102"/>
      <c r="AD631" s="102"/>
      <c r="AE631" s="102"/>
      <c r="AF631" s="102"/>
      <c r="AG631" s="102"/>
      <c r="AH631" s="102"/>
      <c r="AI631" s="102"/>
      <c r="AJ631" s="102"/>
      <c r="AK631" s="102"/>
      <c r="AL631" s="102"/>
      <c r="AM631" s="102"/>
      <c r="AN631" s="102"/>
      <c r="AO631" s="102"/>
      <c r="AP631" s="102"/>
      <c r="AQ631" s="102"/>
      <c r="AR631" s="102"/>
      <c r="AS631" s="102"/>
      <c r="AT631" s="102"/>
      <c r="AU631" s="102"/>
    </row>
    <row r="632" spans="1:47" s="78" customFormat="1" ht="12.6" customHeight="1" x14ac:dyDescent="0.3">
      <c r="A632" s="102"/>
      <c r="V632" s="102"/>
      <c r="W632" s="102"/>
      <c r="X632" s="102"/>
      <c r="Y632" s="102"/>
      <c r="Z632" s="102"/>
      <c r="AA632" s="102"/>
      <c r="AB632" s="102"/>
      <c r="AC632" s="102"/>
      <c r="AD632" s="102"/>
      <c r="AE632" s="102"/>
      <c r="AF632" s="102"/>
      <c r="AG632" s="102"/>
      <c r="AH632" s="102"/>
      <c r="AI632" s="102"/>
      <c r="AJ632" s="102"/>
      <c r="AK632" s="102"/>
      <c r="AL632" s="102"/>
      <c r="AM632" s="102"/>
      <c r="AN632" s="102"/>
      <c r="AO632" s="102"/>
      <c r="AP632" s="102"/>
      <c r="AQ632" s="102"/>
      <c r="AR632" s="102"/>
      <c r="AS632" s="102"/>
      <c r="AT632" s="102"/>
      <c r="AU632" s="102"/>
    </row>
    <row r="633" spans="1:47" s="78" customFormat="1" ht="12.6" customHeight="1" x14ac:dyDescent="0.3">
      <c r="A633" s="102"/>
      <c r="V633" s="102"/>
      <c r="W633" s="102"/>
      <c r="X633" s="102"/>
      <c r="Y633" s="102"/>
      <c r="Z633" s="102"/>
      <c r="AA633" s="102"/>
      <c r="AB633" s="102"/>
      <c r="AC633" s="102"/>
      <c r="AD633" s="102"/>
      <c r="AE633" s="102"/>
      <c r="AF633" s="102"/>
      <c r="AG633" s="102"/>
      <c r="AH633" s="102"/>
      <c r="AI633" s="102"/>
      <c r="AJ633" s="102"/>
      <c r="AK633" s="102"/>
      <c r="AL633" s="102"/>
      <c r="AM633" s="102"/>
      <c r="AN633" s="102"/>
      <c r="AO633" s="102"/>
      <c r="AP633" s="102"/>
      <c r="AQ633" s="102"/>
      <c r="AR633" s="102"/>
      <c r="AS633" s="102"/>
      <c r="AT633" s="102"/>
      <c r="AU633" s="102"/>
    </row>
    <row r="634" spans="1:47" s="78" customFormat="1" ht="12.6" customHeight="1" x14ac:dyDescent="0.3">
      <c r="A634" s="102"/>
      <c r="V634" s="102"/>
      <c r="W634" s="102"/>
      <c r="X634" s="102"/>
      <c r="Y634" s="102"/>
      <c r="Z634" s="102"/>
      <c r="AA634" s="102"/>
      <c r="AB634" s="102"/>
      <c r="AC634" s="102"/>
      <c r="AD634" s="102"/>
      <c r="AE634" s="102"/>
      <c r="AF634" s="102"/>
      <c r="AG634" s="102"/>
      <c r="AH634" s="102"/>
      <c r="AI634" s="102"/>
      <c r="AJ634" s="102"/>
      <c r="AK634" s="102"/>
      <c r="AL634" s="102"/>
      <c r="AM634" s="102"/>
      <c r="AN634" s="102"/>
      <c r="AO634" s="102"/>
      <c r="AP634" s="102"/>
      <c r="AQ634" s="102"/>
      <c r="AR634" s="102"/>
      <c r="AS634" s="102"/>
      <c r="AT634" s="102"/>
      <c r="AU634" s="102"/>
    </row>
    <row r="635" spans="1:47" s="78" customFormat="1" ht="12.6" customHeight="1" x14ac:dyDescent="0.3">
      <c r="A635" s="102"/>
      <c r="V635" s="102"/>
      <c r="W635" s="102"/>
      <c r="X635" s="102"/>
      <c r="Y635" s="102"/>
      <c r="Z635" s="102"/>
      <c r="AA635" s="102"/>
      <c r="AB635" s="102"/>
      <c r="AC635" s="102"/>
      <c r="AD635" s="102"/>
      <c r="AE635" s="102"/>
      <c r="AF635" s="102"/>
      <c r="AG635" s="102"/>
      <c r="AH635" s="102"/>
      <c r="AI635" s="102"/>
      <c r="AJ635" s="102"/>
      <c r="AK635" s="102"/>
      <c r="AL635" s="102"/>
      <c r="AM635" s="102"/>
      <c r="AN635" s="102"/>
      <c r="AO635" s="102"/>
      <c r="AP635" s="102"/>
      <c r="AQ635" s="102"/>
      <c r="AR635" s="102"/>
      <c r="AS635" s="102"/>
      <c r="AT635" s="102"/>
      <c r="AU635" s="102"/>
    </row>
    <row r="636" spans="1:47" s="78" customFormat="1" ht="12.6" customHeight="1" x14ac:dyDescent="0.3">
      <c r="A636" s="102"/>
      <c r="V636" s="102"/>
      <c r="W636" s="102"/>
      <c r="X636" s="102"/>
      <c r="Y636" s="102"/>
      <c r="Z636" s="102"/>
      <c r="AA636" s="102"/>
      <c r="AB636" s="102"/>
      <c r="AC636" s="102"/>
      <c r="AD636" s="102"/>
      <c r="AE636" s="102"/>
      <c r="AF636" s="102"/>
      <c r="AG636" s="102"/>
      <c r="AH636" s="102"/>
      <c r="AI636" s="102"/>
      <c r="AJ636" s="102"/>
      <c r="AK636" s="102"/>
      <c r="AL636" s="102"/>
      <c r="AM636" s="102"/>
      <c r="AN636" s="102"/>
      <c r="AO636" s="102"/>
      <c r="AP636" s="102"/>
      <c r="AQ636" s="102"/>
      <c r="AR636" s="102"/>
      <c r="AS636" s="102"/>
      <c r="AT636" s="102"/>
      <c r="AU636" s="102"/>
    </row>
    <row r="637" spans="1:47" s="78" customFormat="1" ht="12.6" customHeight="1" x14ac:dyDescent="0.3">
      <c r="A637" s="102"/>
      <c r="V637" s="102"/>
      <c r="W637" s="102"/>
      <c r="X637" s="102"/>
      <c r="Y637" s="102"/>
      <c r="Z637" s="102"/>
      <c r="AA637" s="102"/>
      <c r="AB637" s="102"/>
      <c r="AC637" s="102"/>
      <c r="AD637" s="102"/>
      <c r="AE637" s="102"/>
      <c r="AF637" s="102"/>
      <c r="AG637" s="102"/>
      <c r="AH637" s="102"/>
      <c r="AI637" s="102"/>
      <c r="AJ637" s="102"/>
      <c r="AK637" s="102"/>
      <c r="AL637" s="102"/>
      <c r="AM637" s="102"/>
      <c r="AN637" s="102"/>
      <c r="AO637" s="102"/>
      <c r="AP637" s="102"/>
      <c r="AQ637" s="102"/>
      <c r="AR637" s="102"/>
      <c r="AS637" s="102"/>
      <c r="AT637" s="102"/>
      <c r="AU637" s="102"/>
    </row>
    <row r="638" spans="1:47" s="78" customFormat="1" ht="12.6" customHeight="1" x14ac:dyDescent="0.3">
      <c r="A638" s="102"/>
      <c r="V638" s="102"/>
      <c r="W638" s="102"/>
      <c r="X638" s="102"/>
      <c r="Y638" s="102"/>
      <c r="Z638" s="102"/>
      <c r="AA638" s="102"/>
      <c r="AB638" s="102"/>
      <c r="AC638" s="102"/>
      <c r="AD638" s="102"/>
      <c r="AE638" s="102"/>
      <c r="AF638" s="102"/>
      <c r="AG638" s="102"/>
      <c r="AH638" s="102"/>
      <c r="AI638" s="102"/>
      <c r="AJ638" s="102"/>
      <c r="AK638" s="102"/>
      <c r="AL638" s="102"/>
      <c r="AM638" s="102"/>
      <c r="AN638" s="102"/>
      <c r="AO638" s="102"/>
      <c r="AP638" s="102"/>
      <c r="AQ638" s="102"/>
      <c r="AR638" s="102"/>
      <c r="AS638" s="102"/>
      <c r="AT638" s="102"/>
      <c r="AU638" s="102"/>
    </row>
    <row r="639" spans="1:47" s="78" customFormat="1" ht="12.6" customHeight="1" x14ac:dyDescent="0.3">
      <c r="A639" s="102"/>
      <c r="V639" s="102"/>
      <c r="W639" s="102"/>
      <c r="X639" s="102"/>
      <c r="Y639" s="102"/>
      <c r="Z639" s="102"/>
      <c r="AA639" s="102"/>
      <c r="AB639" s="102"/>
      <c r="AC639" s="102"/>
      <c r="AD639" s="102"/>
      <c r="AE639" s="102"/>
      <c r="AF639" s="102"/>
      <c r="AG639" s="102"/>
      <c r="AH639" s="102"/>
      <c r="AI639" s="102"/>
      <c r="AJ639" s="102"/>
      <c r="AK639" s="102"/>
      <c r="AL639" s="102"/>
      <c r="AM639" s="102"/>
      <c r="AN639" s="102"/>
      <c r="AO639" s="102"/>
      <c r="AP639" s="102"/>
      <c r="AQ639" s="102"/>
      <c r="AR639" s="102"/>
      <c r="AS639" s="102"/>
      <c r="AT639" s="102"/>
      <c r="AU639" s="102"/>
    </row>
    <row r="640" spans="1:47" s="78" customFormat="1" ht="12.6" customHeight="1" x14ac:dyDescent="0.3">
      <c r="A640" s="102"/>
      <c r="V640" s="102"/>
      <c r="W640" s="102"/>
      <c r="X640" s="102"/>
      <c r="Y640" s="102"/>
      <c r="Z640" s="102"/>
      <c r="AA640" s="102"/>
      <c r="AB640" s="102"/>
      <c r="AC640" s="102"/>
      <c r="AD640" s="102"/>
      <c r="AE640" s="102"/>
      <c r="AF640" s="102"/>
      <c r="AG640" s="102"/>
      <c r="AH640" s="102"/>
      <c r="AI640" s="102"/>
      <c r="AJ640" s="102"/>
      <c r="AK640" s="102"/>
      <c r="AL640" s="102"/>
      <c r="AM640" s="102"/>
      <c r="AN640" s="102"/>
      <c r="AO640" s="102"/>
      <c r="AP640" s="102"/>
      <c r="AQ640" s="102"/>
      <c r="AR640" s="102"/>
      <c r="AS640" s="102"/>
      <c r="AT640" s="102"/>
      <c r="AU640" s="102"/>
    </row>
    <row r="641" spans="1:47" s="78" customFormat="1" ht="12.6" customHeight="1" x14ac:dyDescent="0.3">
      <c r="A641" s="102"/>
      <c r="V641" s="102"/>
      <c r="W641" s="102"/>
      <c r="X641" s="102"/>
      <c r="Y641" s="102"/>
      <c r="Z641" s="102"/>
      <c r="AA641" s="102"/>
      <c r="AB641" s="102"/>
      <c r="AC641" s="102"/>
      <c r="AD641" s="102"/>
      <c r="AE641" s="102"/>
      <c r="AF641" s="102"/>
      <c r="AG641" s="102"/>
      <c r="AH641" s="102"/>
      <c r="AI641" s="102"/>
      <c r="AJ641" s="102"/>
      <c r="AK641" s="102"/>
      <c r="AL641" s="102"/>
      <c r="AM641" s="102"/>
      <c r="AN641" s="102"/>
      <c r="AO641" s="102"/>
      <c r="AP641" s="102"/>
      <c r="AQ641" s="102"/>
      <c r="AR641" s="102"/>
      <c r="AS641" s="102"/>
      <c r="AT641" s="102"/>
      <c r="AU641" s="102"/>
    </row>
    <row r="642" spans="1:47" s="78" customFormat="1" ht="12.6" customHeight="1" x14ac:dyDescent="0.3">
      <c r="A642" s="102"/>
      <c r="V642" s="102"/>
      <c r="W642" s="102"/>
      <c r="X642" s="102"/>
      <c r="Y642" s="102"/>
      <c r="Z642" s="102"/>
      <c r="AA642" s="102"/>
      <c r="AB642" s="102"/>
      <c r="AC642" s="102"/>
      <c r="AD642" s="102"/>
      <c r="AE642" s="102"/>
      <c r="AF642" s="102"/>
      <c r="AG642" s="102"/>
      <c r="AH642" s="102"/>
      <c r="AI642" s="102"/>
      <c r="AJ642" s="102"/>
      <c r="AK642" s="102"/>
      <c r="AL642" s="102"/>
      <c r="AM642" s="102"/>
      <c r="AN642" s="102"/>
      <c r="AO642" s="102"/>
      <c r="AP642" s="102"/>
      <c r="AQ642" s="102"/>
      <c r="AR642" s="102"/>
      <c r="AS642" s="102"/>
      <c r="AT642" s="102"/>
      <c r="AU642" s="102"/>
    </row>
    <row r="643" spans="1:47" s="78" customFormat="1" ht="12.6" customHeight="1" x14ac:dyDescent="0.3">
      <c r="A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row>
    <row r="644" spans="1:47" s="78" customFormat="1" ht="12.6" customHeight="1" x14ac:dyDescent="0.3">
      <c r="A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row>
    <row r="645" spans="1:47" s="78" customFormat="1" ht="12.6" customHeight="1" x14ac:dyDescent="0.3">
      <c r="A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row>
    <row r="646" spans="1:47" s="78" customFormat="1" ht="12.6" customHeight="1" x14ac:dyDescent="0.3">
      <c r="A646" s="102"/>
      <c r="V646" s="102"/>
      <c r="W646" s="102"/>
      <c r="X646" s="102"/>
      <c r="Y646" s="102"/>
      <c r="Z646" s="102"/>
      <c r="AA646" s="102"/>
      <c r="AB646" s="102"/>
      <c r="AC646" s="102"/>
      <c r="AD646" s="102"/>
      <c r="AE646" s="102"/>
      <c r="AF646" s="102"/>
      <c r="AG646" s="102"/>
      <c r="AH646" s="102"/>
      <c r="AI646" s="102"/>
      <c r="AJ646" s="102"/>
      <c r="AK646" s="102"/>
      <c r="AL646" s="102"/>
      <c r="AM646" s="102"/>
      <c r="AN646" s="102"/>
      <c r="AO646" s="102"/>
      <c r="AP646" s="102"/>
      <c r="AQ646" s="102"/>
      <c r="AR646" s="102"/>
      <c r="AS646" s="102"/>
      <c r="AT646" s="102"/>
      <c r="AU646" s="102"/>
    </row>
    <row r="647" spans="1:47" s="78" customFormat="1" ht="12.6" customHeight="1" x14ac:dyDescent="0.3">
      <c r="A647" s="102"/>
      <c r="V647" s="102"/>
      <c r="W647" s="102"/>
      <c r="X647" s="102"/>
      <c r="Y647" s="102"/>
      <c r="Z647" s="102"/>
      <c r="AA647" s="102"/>
      <c r="AB647" s="102"/>
      <c r="AC647" s="102"/>
      <c r="AD647" s="102"/>
      <c r="AE647" s="102"/>
      <c r="AF647" s="102"/>
      <c r="AG647" s="102"/>
      <c r="AH647" s="102"/>
      <c r="AI647" s="102"/>
      <c r="AJ647" s="102"/>
      <c r="AK647" s="102"/>
      <c r="AL647" s="102"/>
      <c r="AM647" s="102"/>
      <c r="AN647" s="102"/>
      <c r="AO647" s="102"/>
      <c r="AP647" s="102"/>
      <c r="AQ647" s="102"/>
      <c r="AR647" s="102"/>
      <c r="AS647" s="102"/>
      <c r="AT647" s="102"/>
      <c r="AU647" s="102"/>
    </row>
    <row r="648" spans="1:47" s="78" customFormat="1" ht="12.6" customHeight="1" x14ac:dyDescent="0.3">
      <c r="A648" s="102"/>
      <c r="V648" s="102"/>
      <c r="W648" s="102"/>
      <c r="X648" s="102"/>
      <c r="Y648" s="102"/>
      <c r="Z648" s="102"/>
      <c r="AA648" s="102"/>
      <c r="AB648" s="102"/>
      <c r="AC648" s="102"/>
      <c r="AD648" s="102"/>
      <c r="AE648" s="102"/>
      <c r="AF648" s="102"/>
      <c r="AG648" s="102"/>
      <c r="AH648" s="102"/>
      <c r="AI648" s="102"/>
      <c r="AJ648" s="102"/>
      <c r="AK648" s="102"/>
      <c r="AL648" s="102"/>
      <c r="AM648" s="102"/>
      <c r="AN648" s="102"/>
      <c r="AO648" s="102"/>
      <c r="AP648" s="102"/>
      <c r="AQ648" s="102"/>
      <c r="AR648" s="102"/>
      <c r="AS648" s="102"/>
      <c r="AT648" s="102"/>
      <c r="AU648" s="102"/>
    </row>
    <row r="649" spans="1:47" s="78" customFormat="1" ht="12.6" customHeight="1" x14ac:dyDescent="0.3">
      <c r="A649" s="102"/>
      <c r="V649" s="102"/>
      <c r="W649" s="102"/>
      <c r="X649" s="102"/>
      <c r="Y649" s="102"/>
      <c r="Z649" s="102"/>
      <c r="AA649" s="102"/>
      <c r="AB649" s="102"/>
      <c r="AC649" s="102"/>
      <c r="AD649" s="102"/>
      <c r="AE649" s="102"/>
      <c r="AF649" s="102"/>
      <c r="AG649" s="102"/>
      <c r="AH649" s="102"/>
      <c r="AI649" s="102"/>
      <c r="AJ649" s="102"/>
      <c r="AK649" s="102"/>
      <c r="AL649" s="102"/>
      <c r="AM649" s="102"/>
      <c r="AN649" s="102"/>
      <c r="AO649" s="102"/>
      <c r="AP649" s="102"/>
      <c r="AQ649" s="102"/>
      <c r="AR649" s="102"/>
      <c r="AS649" s="102"/>
      <c r="AT649" s="102"/>
      <c r="AU649" s="102"/>
    </row>
    <row r="650" spans="1:47" s="78" customFormat="1" ht="12.6" customHeight="1" x14ac:dyDescent="0.3">
      <c r="A650" s="102"/>
      <c r="V650" s="102"/>
      <c r="W650" s="102"/>
      <c r="X650" s="102"/>
      <c r="Y650" s="102"/>
      <c r="Z650" s="102"/>
      <c r="AA650" s="102"/>
      <c r="AB650" s="102"/>
      <c r="AC650" s="102"/>
      <c r="AD650" s="102"/>
      <c r="AE650" s="102"/>
      <c r="AF650" s="102"/>
      <c r="AG650" s="102"/>
      <c r="AH650" s="102"/>
      <c r="AI650" s="102"/>
      <c r="AJ650" s="102"/>
      <c r="AK650" s="102"/>
      <c r="AL650" s="102"/>
      <c r="AM650" s="102"/>
      <c r="AN650" s="102"/>
      <c r="AO650" s="102"/>
      <c r="AP650" s="102"/>
      <c r="AQ650" s="102"/>
      <c r="AR650" s="102"/>
      <c r="AS650" s="102"/>
      <c r="AT650" s="102"/>
      <c r="AU650" s="102"/>
    </row>
    <row r="651" spans="1:47" s="78" customFormat="1" ht="12.6" customHeight="1" x14ac:dyDescent="0.3">
      <c r="A651" s="102"/>
      <c r="V651" s="102"/>
      <c r="W651" s="102"/>
      <c r="X651" s="102"/>
      <c r="Y651" s="102"/>
      <c r="Z651" s="102"/>
      <c r="AA651" s="102"/>
      <c r="AB651" s="102"/>
      <c r="AC651" s="102"/>
      <c r="AD651" s="102"/>
      <c r="AE651" s="102"/>
      <c r="AF651" s="102"/>
      <c r="AG651" s="102"/>
      <c r="AH651" s="102"/>
      <c r="AI651" s="102"/>
      <c r="AJ651" s="102"/>
      <c r="AK651" s="102"/>
      <c r="AL651" s="102"/>
      <c r="AM651" s="102"/>
      <c r="AN651" s="102"/>
      <c r="AO651" s="102"/>
      <c r="AP651" s="102"/>
      <c r="AQ651" s="102"/>
      <c r="AR651" s="102"/>
      <c r="AS651" s="102"/>
      <c r="AT651" s="102"/>
      <c r="AU651" s="102"/>
    </row>
    <row r="652" spans="1:47" s="78" customFormat="1" ht="12.6" customHeight="1" x14ac:dyDescent="0.3">
      <c r="A652" s="102"/>
      <c r="V652" s="102"/>
      <c r="W652" s="102"/>
      <c r="X652" s="102"/>
      <c r="Y652" s="102"/>
      <c r="Z652" s="102"/>
      <c r="AA652" s="102"/>
      <c r="AB652" s="102"/>
      <c r="AC652" s="102"/>
      <c r="AD652" s="102"/>
      <c r="AE652" s="102"/>
      <c r="AF652" s="102"/>
      <c r="AG652" s="102"/>
      <c r="AH652" s="102"/>
      <c r="AI652" s="102"/>
      <c r="AJ652" s="102"/>
      <c r="AK652" s="102"/>
      <c r="AL652" s="102"/>
      <c r="AM652" s="102"/>
      <c r="AN652" s="102"/>
      <c r="AO652" s="102"/>
      <c r="AP652" s="102"/>
      <c r="AQ652" s="102"/>
      <c r="AR652" s="102"/>
      <c r="AS652" s="102"/>
      <c r="AT652" s="102"/>
      <c r="AU652" s="102"/>
    </row>
    <row r="653" spans="1:47" s="78" customFormat="1" ht="12.6" customHeight="1" x14ac:dyDescent="0.3">
      <c r="A653" s="102"/>
      <c r="V653" s="102"/>
      <c r="W653" s="102"/>
      <c r="X653" s="102"/>
      <c r="Y653" s="102"/>
      <c r="Z653" s="102"/>
      <c r="AA653" s="102"/>
      <c r="AB653" s="102"/>
      <c r="AC653" s="102"/>
      <c r="AD653" s="102"/>
      <c r="AE653" s="102"/>
      <c r="AF653" s="102"/>
      <c r="AG653" s="102"/>
      <c r="AH653" s="102"/>
      <c r="AI653" s="102"/>
      <c r="AJ653" s="102"/>
      <c r="AK653" s="102"/>
      <c r="AL653" s="102"/>
      <c r="AM653" s="102"/>
      <c r="AN653" s="102"/>
      <c r="AO653" s="102"/>
      <c r="AP653" s="102"/>
      <c r="AQ653" s="102"/>
      <c r="AR653" s="102"/>
      <c r="AS653" s="102"/>
      <c r="AT653" s="102"/>
      <c r="AU653" s="102"/>
    </row>
    <row r="654" spans="1:47" s="78" customFormat="1" ht="12.6" customHeight="1" x14ac:dyDescent="0.3">
      <c r="A654" s="102"/>
      <c r="V654" s="102"/>
      <c r="W654" s="102"/>
      <c r="X654" s="102"/>
      <c r="Y654" s="102"/>
      <c r="Z654" s="102"/>
      <c r="AA654" s="102"/>
      <c r="AB654" s="102"/>
      <c r="AC654" s="102"/>
      <c r="AD654" s="102"/>
      <c r="AE654" s="102"/>
      <c r="AF654" s="102"/>
      <c r="AG654" s="102"/>
      <c r="AH654" s="102"/>
      <c r="AI654" s="102"/>
      <c r="AJ654" s="102"/>
      <c r="AK654" s="102"/>
      <c r="AL654" s="102"/>
      <c r="AM654" s="102"/>
      <c r="AN654" s="102"/>
      <c r="AO654" s="102"/>
      <c r="AP654" s="102"/>
      <c r="AQ654" s="102"/>
      <c r="AR654" s="102"/>
      <c r="AS654" s="102"/>
      <c r="AT654" s="102"/>
      <c r="AU654" s="102"/>
    </row>
    <row r="655" spans="1:47" s="78" customFormat="1" ht="12.6" customHeight="1" x14ac:dyDescent="0.3">
      <c r="A655" s="102"/>
      <c r="V655" s="102"/>
      <c r="W655" s="102"/>
      <c r="X655" s="102"/>
      <c r="Y655" s="102"/>
      <c r="Z655" s="102"/>
      <c r="AA655" s="102"/>
      <c r="AB655" s="102"/>
      <c r="AC655" s="102"/>
      <c r="AD655" s="102"/>
      <c r="AE655" s="102"/>
      <c r="AF655" s="102"/>
      <c r="AG655" s="102"/>
      <c r="AH655" s="102"/>
      <c r="AI655" s="102"/>
      <c r="AJ655" s="102"/>
      <c r="AK655" s="102"/>
      <c r="AL655" s="102"/>
      <c r="AM655" s="102"/>
      <c r="AN655" s="102"/>
      <c r="AO655" s="102"/>
      <c r="AP655" s="102"/>
      <c r="AQ655" s="102"/>
      <c r="AR655" s="102"/>
      <c r="AS655" s="102"/>
      <c r="AT655" s="102"/>
      <c r="AU655" s="102"/>
    </row>
    <row r="656" spans="1:47" s="78" customFormat="1" ht="12.6" customHeight="1" x14ac:dyDescent="0.3">
      <c r="A656" s="102"/>
      <c r="V656" s="102"/>
      <c r="W656" s="102"/>
      <c r="X656" s="102"/>
      <c r="Y656" s="102"/>
      <c r="Z656" s="102"/>
      <c r="AA656" s="102"/>
      <c r="AB656" s="102"/>
      <c r="AC656" s="102"/>
      <c r="AD656" s="102"/>
      <c r="AE656" s="102"/>
      <c r="AF656" s="102"/>
      <c r="AG656" s="102"/>
      <c r="AH656" s="102"/>
      <c r="AI656" s="102"/>
      <c r="AJ656" s="102"/>
      <c r="AK656" s="102"/>
      <c r="AL656" s="102"/>
      <c r="AM656" s="102"/>
      <c r="AN656" s="102"/>
      <c r="AO656" s="102"/>
      <c r="AP656" s="102"/>
      <c r="AQ656" s="102"/>
      <c r="AR656" s="102"/>
      <c r="AS656" s="102"/>
      <c r="AT656" s="102"/>
      <c r="AU656" s="102"/>
    </row>
    <row r="657" spans="1:47" s="78" customFormat="1" ht="12.6" customHeight="1" x14ac:dyDescent="0.3">
      <c r="A657" s="102"/>
      <c r="V657" s="102"/>
      <c r="W657" s="102"/>
      <c r="X657" s="102"/>
      <c r="Y657" s="102"/>
      <c r="Z657" s="102"/>
      <c r="AA657" s="102"/>
      <c r="AB657" s="102"/>
      <c r="AC657" s="102"/>
      <c r="AD657" s="102"/>
      <c r="AE657" s="102"/>
      <c r="AF657" s="102"/>
      <c r="AG657" s="102"/>
      <c r="AH657" s="102"/>
      <c r="AI657" s="102"/>
      <c r="AJ657" s="102"/>
      <c r="AK657" s="102"/>
      <c r="AL657" s="102"/>
      <c r="AM657" s="102"/>
      <c r="AN657" s="102"/>
      <c r="AO657" s="102"/>
      <c r="AP657" s="102"/>
      <c r="AQ657" s="102"/>
      <c r="AR657" s="102"/>
      <c r="AS657" s="102"/>
      <c r="AT657" s="102"/>
      <c r="AU657" s="102"/>
    </row>
    <row r="658" spans="1:47" s="78" customFormat="1" ht="12.6" customHeight="1" x14ac:dyDescent="0.3">
      <c r="A658" s="102"/>
      <c r="V658" s="102"/>
      <c r="W658" s="102"/>
      <c r="X658" s="102"/>
      <c r="Y658" s="102"/>
      <c r="Z658" s="102"/>
      <c r="AA658" s="102"/>
      <c r="AB658" s="102"/>
      <c r="AC658" s="102"/>
      <c r="AD658" s="102"/>
      <c r="AE658" s="102"/>
      <c r="AF658" s="102"/>
      <c r="AG658" s="102"/>
      <c r="AH658" s="102"/>
      <c r="AI658" s="102"/>
      <c r="AJ658" s="102"/>
      <c r="AK658" s="102"/>
      <c r="AL658" s="102"/>
      <c r="AM658" s="102"/>
      <c r="AN658" s="102"/>
      <c r="AO658" s="102"/>
      <c r="AP658" s="102"/>
      <c r="AQ658" s="102"/>
      <c r="AR658" s="102"/>
      <c r="AS658" s="102"/>
      <c r="AT658" s="102"/>
      <c r="AU658" s="102"/>
    </row>
    <row r="659" spans="1:47" s="78" customFormat="1" ht="12.6" customHeight="1" x14ac:dyDescent="0.3">
      <c r="A659" s="102"/>
      <c r="V659" s="102"/>
      <c r="W659" s="102"/>
      <c r="X659" s="102"/>
      <c r="Y659" s="102"/>
      <c r="Z659" s="102"/>
      <c r="AA659" s="102"/>
      <c r="AB659" s="102"/>
      <c r="AC659" s="102"/>
      <c r="AD659" s="102"/>
      <c r="AE659" s="102"/>
      <c r="AF659" s="102"/>
      <c r="AG659" s="102"/>
      <c r="AH659" s="102"/>
      <c r="AI659" s="102"/>
      <c r="AJ659" s="102"/>
      <c r="AK659" s="102"/>
      <c r="AL659" s="102"/>
      <c r="AM659" s="102"/>
      <c r="AN659" s="102"/>
      <c r="AO659" s="102"/>
      <c r="AP659" s="102"/>
      <c r="AQ659" s="102"/>
      <c r="AR659" s="102"/>
      <c r="AS659" s="102"/>
      <c r="AT659" s="102"/>
      <c r="AU659" s="102"/>
    </row>
    <row r="660" spans="1:47" s="78" customFormat="1" ht="12.6" customHeight="1" x14ac:dyDescent="0.3">
      <c r="A660" s="102"/>
      <c r="V660" s="102"/>
      <c r="W660" s="102"/>
      <c r="X660" s="102"/>
      <c r="Y660" s="102"/>
      <c r="Z660" s="102"/>
      <c r="AA660" s="102"/>
      <c r="AB660" s="102"/>
      <c r="AC660" s="102"/>
      <c r="AD660" s="102"/>
      <c r="AE660" s="102"/>
      <c r="AF660" s="102"/>
      <c r="AG660" s="102"/>
      <c r="AH660" s="102"/>
      <c r="AI660" s="102"/>
      <c r="AJ660" s="102"/>
      <c r="AK660" s="102"/>
      <c r="AL660" s="102"/>
      <c r="AM660" s="102"/>
      <c r="AN660" s="102"/>
      <c r="AO660" s="102"/>
      <c r="AP660" s="102"/>
      <c r="AQ660" s="102"/>
      <c r="AR660" s="102"/>
      <c r="AS660" s="102"/>
      <c r="AT660" s="102"/>
      <c r="AU660" s="102"/>
    </row>
    <row r="661" spans="1:47" s="78" customFormat="1" ht="12.6" customHeight="1" x14ac:dyDescent="0.3">
      <c r="A661" s="102"/>
      <c r="V661" s="102"/>
      <c r="W661" s="102"/>
      <c r="X661" s="102"/>
      <c r="Y661" s="102"/>
      <c r="Z661" s="102"/>
      <c r="AA661" s="102"/>
      <c r="AB661" s="102"/>
      <c r="AC661" s="102"/>
      <c r="AD661" s="102"/>
      <c r="AE661" s="102"/>
      <c r="AF661" s="102"/>
      <c r="AG661" s="102"/>
      <c r="AH661" s="102"/>
      <c r="AI661" s="102"/>
      <c r="AJ661" s="102"/>
      <c r="AK661" s="102"/>
      <c r="AL661" s="102"/>
      <c r="AM661" s="102"/>
      <c r="AN661" s="102"/>
      <c r="AO661" s="102"/>
      <c r="AP661" s="102"/>
      <c r="AQ661" s="102"/>
      <c r="AR661" s="102"/>
      <c r="AS661" s="102"/>
      <c r="AT661" s="102"/>
      <c r="AU661" s="102"/>
    </row>
    <row r="662" spans="1:47" s="78" customFormat="1" ht="12.6" customHeight="1" x14ac:dyDescent="0.3">
      <c r="A662" s="102"/>
      <c r="V662" s="102"/>
      <c r="W662" s="102"/>
      <c r="X662" s="102"/>
      <c r="Y662" s="102"/>
      <c r="Z662" s="102"/>
      <c r="AA662" s="102"/>
      <c r="AB662" s="102"/>
      <c r="AC662" s="102"/>
      <c r="AD662" s="102"/>
      <c r="AE662" s="102"/>
      <c r="AF662" s="102"/>
      <c r="AG662" s="102"/>
      <c r="AH662" s="102"/>
      <c r="AI662" s="102"/>
      <c r="AJ662" s="102"/>
      <c r="AK662" s="102"/>
      <c r="AL662" s="102"/>
      <c r="AM662" s="102"/>
      <c r="AN662" s="102"/>
      <c r="AO662" s="102"/>
      <c r="AP662" s="102"/>
      <c r="AQ662" s="102"/>
      <c r="AR662" s="102"/>
      <c r="AS662" s="102"/>
      <c r="AT662" s="102"/>
      <c r="AU662" s="102"/>
    </row>
    <row r="663" spans="1:47" s="78" customFormat="1" ht="12.6" customHeight="1" x14ac:dyDescent="0.3">
      <c r="A663" s="102"/>
      <c r="V663" s="102"/>
      <c r="W663" s="102"/>
      <c r="X663" s="102"/>
      <c r="Y663" s="102"/>
      <c r="Z663" s="102"/>
      <c r="AA663" s="102"/>
      <c r="AB663" s="102"/>
      <c r="AC663" s="102"/>
      <c r="AD663" s="102"/>
      <c r="AE663" s="102"/>
      <c r="AF663" s="102"/>
      <c r="AG663" s="102"/>
      <c r="AH663" s="102"/>
      <c r="AI663" s="102"/>
      <c r="AJ663" s="102"/>
      <c r="AK663" s="102"/>
      <c r="AL663" s="102"/>
      <c r="AM663" s="102"/>
      <c r="AN663" s="102"/>
      <c r="AO663" s="102"/>
      <c r="AP663" s="102"/>
      <c r="AQ663" s="102"/>
      <c r="AR663" s="102"/>
      <c r="AS663" s="102"/>
      <c r="AT663" s="102"/>
      <c r="AU663" s="102"/>
    </row>
    <row r="664" spans="1:47" s="78" customFormat="1" ht="12.6" customHeight="1" x14ac:dyDescent="0.3">
      <c r="A664" s="102"/>
      <c r="V664" s="102"/>
      <c r="W664" s="102"/>
      <c r="X664" s="102"/>
      <c r="Y664" s="102"/>
      <c r="Z664" s="102"/>
      <c r="AA664" s="102"/>
      <c r="AB664" s="102"/>
      <c r="AC664" s="102"/>
      <c r="AD664" s="102"/>
      <c r="AE664" s="102"/>
      <c r="AF664" s="102"/>
      <c r="AG664" s="102"/>
      <c r="AH664" s="102"/>
      <c r="AI664" s="102"/>
      <c r="AJ664" s="102"/>
      <c r="AK664" s="102"/>
      <c r="AL664" s="102"/>
      <c r="AM664" s="102"/>
      <c r="AN664" s="102"/>
      <c r="AO664" s="102"/>
      <c r="AP664" s="102"/>
      <c r="AQ664" s="102"/>
      <c r="AR664" s="102"/>
      <c r="AS664" s="102"/>
      <c r="AT664" s="102"/>
      <c r="AU664" s="102"/>
    </row>
    <row r="665" spans="1:47" s="78" customFormat="1" ht="12.6" customHeight="1" x14ac:dyDescent="0.3">
      <c r="A665" s="102"/>
      <c r="V665" s="102"/>
      <c r="W665" s="102"/>
      <c r="X665" s="102"/>
      <c r="Y665" s="102"/>
      <c r="Z665" s="102"/>
      <c r="AA665" s="102"/>
      <c r="AB665" s="102"/>
      <c r="AC665" s="102"/>
      <c r="AD665" s="102"/>
      <c r="AE665" s="102"/>
      <c r="AF665" s="102"/>
      <c r="AG665" s="102"/>
      <c r="AH665" s="102"/>
      <c r="AI665" s="102"/>
      <c r="AJ665" s="102"/>
      <c r="AK665" s="102"/>
      <c r="AL665" s="102"/>
      <c r="AM665" s="102"/>
      <c r="AN665" s="102"/>
      <c r="AO665" s="102"/>
      <c r="AP665" s="102"/>
      <c r="AQ665" s="102"/>
      <c r="AR665" s="102"/>
      <c r="AS665" s="102"/>
      <c r="AT665" s="102"/>
      <c r="AU665" s="102"/>
    </row>
    <row r="666" spans="1:47" s="78" customFormat="1" ht="12.6" customHeight="1" x14ac:dyDescent="0.3">
      <c r="A666" s="102"/>
      <c r="V666" s="102"/>
      <c r="W666" s="102"/>
      <c r="X666" s="102"/>
      <c r="Y666" s="102"/>
      <c r="Z666" s="102"/>
      <c r="AA666" s="102"/>
      <c r="AB666" s="102"/>
      <c r="AC666" s="102"/>
      <c r="AD666" s="102"/>
      <c r="AE666" s="102"/>
      <c r="AF666" s="102"/>
      <c r="AG666" s="102"/>
      <c r="AH666" s="102"/>
      <c r="AI666" s="102"/>
      <c r="AJ666" s="102"/>
      <c r="AK666" s="102"/>
      <c r="AL666" s="102"/>
      <c r="AM666" s="102"/>
      <c r="AN666" s="102"/>
      <c r="AO666" s="102"/>
      <c r="AP666" s="102"/>
      <c r="AQ666" s="102"/>
      <c r="AR666" s="102"/>
      <c r="AS666" s="102"/>
      <c r="AT666" s="102"/>
      <c r="AU666" s="102"/>
    </row>
    <row r="667" spans="1:47" s="78" customFormat="1" ht="12.6" customHeight="1" x14ac:dyDescent="0.3">
      <c r="A667" s="102"/>
      <c r="V667" s="102"/>
      <c r="W667" s="102"/>
      <c r="X667" s="102"/>
      <c r="Y667" s="102"/>
      <c r="Z667" s="102"/>
      <c r="AA667" s="102"/>
      <c r="AB667" s="102"/>
      <c r="AC667" s="102"/>
      <c r="AD667" s="102"/>
      <c r="AE667" s="102"/>
      <c r="AF667" s="102"/>
      <c r="AG667" s="102"/>
      <c r="AH667" s="102"/>
      <c r="AI667" s="102"/>
      <c r="AJ667" s="102"/>
      <c r="AK667" s="102"/>
      <c r="AL667" s="102"/>
      <c r="AM667" s="102"/>
      <c r="AN667" s="102"/>
      <c r="AO667" s="102"/>
      <c r="AP667" s="102"/>
      <c r="AQ667" s="102"/>
      <c r="AR667" s="102"/>
      <c r="AS667" s="102"/>
      <c r="AT667" s="102"/>
      <c r="AU667" s="102"/>
    </row>
    <row r="668" spans="1:47" s="78" customFormat="1" ht="12.6" customHeight="1" x14ac:dyDescent="0.3">
      <c r="A668" s="102"/>
      <c r="V668" s="102"/>
      <c r="W668" s="102"/>
      <c r="X668" s="102"/>
      <c r="Y668" s="102"/>
      <c r="Z668" s="102"/>
      <c r="AA668" s="102"/>
      <c r="AB668" s="102"/>
      <c r="AC668" s="102"/>
      <c r="AD668" s="102"/>
      <c r="AE668" s="102"/>
      <c r="AF668" s="102"/>
      <c r="AG668" s="102"/>
      <c r="AH668" s="102"/>
      <c r="AI668" s="102"/>
      <c r="AJ668" s="102"/>
      <c r="AK668" s="102"/>
      <c r="AL668" s="102"/>
      <c r="AM668" s="102"/>
      <c r="AN668" s="102"/>
      <c r="AO668" s="102"/>
      <c r="AP668" s="102"/>
      <c r="AQ668" s="102"/>
      <c r="AR668" s="102"/>
      <c r="AS668" s="102"/>
      <c r="AT668" s="102"/>
      <c r="AU668" s="102"/>
    </row>
    <row r="669" spans="1:47" s="78" customFormat="1" ht="12.6" customHeight="1" x14ac:dyDescent="0.3">
      <c r="A669" s="102"/>
      <c r="V669" s="102"/>
      <c r="W669" s="102"/>
      <c r="X669" s="102"/>
      <c r="Y669" s="102"/>
      <c r="Z669" s="102"/>
      <c r="AA669" s="102"/>
      <c r="AB669" s="102"/>
      <c r="AC669" s="102"/>
      <c r="AD669" s="102"/>
      <c r="AE669" s="102"/>
      <c r="AF669" s="102"/>
      <c r="AG669" s="102"/>
      <c r="AH669" s="102"/>
      <c r="AI669" s="102"/>
      <c r="AJ669" s="102"/>
      <c r="AK669" s="102"/>
      <c r="AL669" s="102"/>
      <c r="AM669" s="102"/>
      <c r="AN669" s="102"/>
      <c r="AO669" s="102"/>
      <c r="AP669" s="102"/>
      <c r="AQ669" s="102"/>
      <c r="AR669" s="102"/>
      <c r="AS669" s="102"/>
      <c r="AT669" s="102"/>
      <c r="AU669" s="102"/>
    </row>
    <row r="670" spans="1:47" s="78" customFormat="1" ht="12.6" customHeight="1" x14ac:dyDescent="0.3">
      <c r="A670" s="102"/>
      <c r="V670" s="102"/>
      <c r="W670" s="102"/>
      <c r="X670" s="102"/>
      <c r="Y670" s="102"/>
      <c r="Z670" s="102"/>
      <c r="AA670" s="102"/>
      <c r="AB670" s="102"/>
      <c r="AC670" s="102"/>
      <c r="AD670" s="102"/>
      <c r="AE670" s="102"/>
      <c r="AF670" s="102"/>
      <c r="AG670" s="102"/>
      <c r="AH670" s="102"/>
      <c r="AI670" s="102"/>
      <c r="AJ670" s="102"/>
      <c r="AK670" s="102"/>
      <c r="AL670" s="102"/>
      <c r="AM670" s="102"/>
      <c r="AN670" s="102"/>
      <c r="AO670" s="102"/>
      <c r="AP670" s="102"/>
      <c r="AQ670" s="102"/>
      <c r="AR670" s="102"/>
      <c r="AS670" s="102"/>
      <c r="AT670" s="102"/>
      <c r="AU670" s="102"/>
    </row>
    <row r="671" spans="1:47" s="78" customFormat="1" ht="12.6" customHeight="1" x14ac:dyDescent="0.3">
      <c r="A671" s="102"/>
      <c r="V671" s="102"/>
      <c r="W671" s="102"/>
      <c r="X671" s="102"/>
      <c r="Y671" s="102"/>
      <c r="Z671" s="102"/>
      <c r="AA671" s="102"/>
      <c r="AB671" s="102"/>
      <c r="AC671" s="102"/>
      <c r="AD671" s="102"/>
      <c r="AE671" s="102"/>
      <c r="AF671" s="102"/>
      <c r="AG671" s="102"/>
      <c r="AH671" s="102"/>
      <c r="AI671" s="102"/>
      <c r="AJ671" s="102"/>
      <c r="AK671" s="102"/>
      <c r="AL671" s="102"/>
      <c r="AM671" s="102"/>
      <c r="AN671" s="102"/>
      <c r="AO671" s="102"/>
      <c r="AP671" s="102"/>
      <c r="AQ671" s="102"/>
      <c r="AR671" s="102"/>
      <c r="AS671" s="102"/>
      <c r="AT671" s="102"/>
      <c r="AU671" s="102"/>
    </row>
    <row r="672" spans="1:47" s="78" customFormat="1" ht="12.6" customHeight="1" x14ac:dyDescent="0.3">
      <c r="A672" s="102"/>
      <c r="V672" s="102"/>
      <c r="W672" s="102"/>
      <c r="X672" s="102"/>
      <c r="Y672" s="102"/>
      <c r="Z672" s="102"/>
      <c r="AA672" s="102"/>
      <c r="AB672" s="102"/>
      <c r="AC672" s="102"/>
      <c r="AD672" s="102"/>
      <c r="AE672" s="102"/>
      <c r="AF672" s="102"/>
      <c r="AG672" s="102"/>
      <c r="AH672" s="102"/>
      <c r="AI672" s="102"/>
      <c r="AJ672" s="102"/>
      <c r="AK672" s="102"/>
      <c r="AL672" s="102"/>
      <c r="AM672" s="102"/>
      <c r="AN672" s="102"/>
      <c r="AO672" s="102"/>
      <c r="AP672" s="102"/>
      <c r="AQ672" s="102"/>
      <c r="AR672" s="102"/>
      <c r="AS672" s="102"/>
      <c r="AT672" s="102"/>
      <c r="AU672" s="102"/>
    </row>
    <row r="673" spans="1:47" s="78" customFormat="1" ht="12.6" customHeight="1" x14ac:dyDescent="0.3">
      <c r="A673" s="102"/>
      <c r="V673" s="102"/>
      <c r="W673" s="102"/>
      <c r="X673" s="102"/>
      <c r="Y673" s="102"/>
      <c r="Z673" s="102"/>
      <c r="AA673" s="102"/>
      <c r="AB673" s="102"/>
      <c r="AC673" s="102"/>
      <c r="AD673" s="102"/>
      <c r="AE673" s="102"/>
      <c r="AF673" s="102"/>
      <c r="AG673" s="102"/>
      <c r="AH673" s="102"/>
      <c r="AI673" s="102"/>
      <c r="AJ673" s="102"/>
      <c r="AK673" s="102"/>
      <c r="AL673" s="102"/>
      <c r="AM673" s="102"/>
      <c r="AN673" s="102"/>
      <c r="AO673" s="102"/>
      <c r="AP673" s="102"/>
      <c r="AQ673" s="102"/>
      <c r="AR673" s="102"/>
      <c r="AS673" s="102"/>
      <c r="AT673" s="102"/>
      <c r="AU673" s="102"/>
    </row>
    <row r="674" spans="1:47" s="78" customFormat="1" ht="12.6" customHeight="1" x14ac:dyDescent="0.3">
      <c r="A674" s="102"/>
      <c r="V674" s="102"/>
      <c r="W674" s="102"/>
      <c r="X674" s="102"/>
      <c r="Y674" s="102"/>
      <c r="Z674" s="102"/>
      <c r="AA674" s="102"/>
      <c r="AB674" s="102"/>
      <c r="AC674" s="102"/>
      <c r="AD674" s="102"/>
      <c r="AE674" s="102"/>
      <c r="AF674" s="102"/>
      <c r="AG674" s="102"/>
      <c r="AH674" s="102"/>
      <c r="AI674" s="102"/>
      <c r="AJ674" s="102"/>
      <c r="AK674" s="102"/>
      <c r="AL674" s="102"/>
      <c r="AM674" s="102"/>
      <c r="AN674" s="102"/>
      <c r="AO674" s="102"/>
      <c r="AP674" s="102"/>
      <c r="AQ674" s="102"/>
      <c r="AR674" s="102"/>
      <c r="AS674" s="102"/>
      <c r="AT674" s="102"/>
      <c r="AU674" s="102"/>
    </row>
    <row r="675" spans="1:47" s="78" customFormat="1" ht="12.6" customHeight="1" x14ac:dyDescent="0.3">
      <c r="A675" s="102"/>
      <c r="V675" s="102"/>
      <c r="W675" s="102"/>
      <c r="X675" s="102"/>
      <c r="Y675" s="102"/>
      <c r="Z675" s="102"/>
      <c r="AA675" s="102"/>
      <c r="AB675" s="102"/>
      <c r="AC675" s="102"/>
      <c r="AD675" s="102"/>
      <c r="AE675" s="102"/>
      <c r="AF675" s="102"/>
      <c r="AG675" s="102"/>
      <c r="AH675" s="102"/>
      <c r="AI675" s="102"/>
      <c r="AJ675" s="102"/>
      <c r="AK675" s="102"/>
      <c r="AL675" s="102"/>
      <c r="AM675" s="102"/>
      <c r="AN675" s="102"/>
      <c r="AO675" s="102"/>
      <c r="AP675" s="102"/>
      <c r="AQ675" s="102"/>
      <c r="AR675" s="102"/>
      <c r="AS675" s="102"/>
      <c r="AT675" s="102"/>
      <c r="AU675" s="102"/>
    </row>
    <row r="676" spans="1:47" s="78" customFormat="1" ht="12.6" customHeight="1" x14ac:dyDescent="0.3">
      <c r="A676" s="102"/>
      <c r="V676" s="102"/>
      <c r="W676" s="102"/>
      <c r="X676" s="102"/>
      <c r="Y676" s="102"/>
      <c r="Z676" s="102"/>
      <c r="AA676" s="102"/>
      <c r="AB676" s="102"/>
      <c r="AC676" s="102"/>
      <c r="AD676" s="102"/>
      <c r="AE676" s="102"/>
      <c r="AF676" s="102"/>
      <c r="AG676" s="102"/>
      <c r="AH676" s="102"/>
      <c r="AI676" s="102"/>
      <c r="AJ676" s="102"/>
      <c r="AK676" s="102"/>
      <c r="AL676" s="102"/>
      <c r="AM676" s="102"/>
      <c r="AN676" s="102"/>
      <c r="AO676" s="102"/>
      <c r="AP676" s="102"/>
      <c r="AQ676" s="102"/>
      <c r="AR676" s="102"/>
      <c r="AS676" s="102"/>
      <c r="AT676" s="102"/>
      <c r="AU676" s="102"/>
    </row>
    <row r="677" spans="1:47" s="78" customFormat="1" ht="12.6" customHeight="1" x14ac:dyDescent="0.3">
      <c r="A677" s="102"/>
      <c r="V677" s="102"/>
      <c r="W677" s="102"/>
      <c r="X677" s="102"/>
      <c r="Y677" s="102"/>
      <c r="Z677" s="102"/>
      <c r="AA677" s="102"/>
      <c r="AB677" s="102"/>
      <c r="AC677" s="102"/>
      <c r="AD677" s="102"/>
      <c r="AE677" s="102"/>
      <c r="AF677" s="102"/>
      <c r="AG677" s="102"/>
      <c r="AH677" s="102"/>
      <c r="AI677" s="102"/>
      <c r="AJ677" s="102"/>
      <c r="AK677" s="102"/>
      <c r="AL677" s="102"/>
      <c r="AM677" s="102"/>
      <c r="AN677" s="102"/>
      <c r="AO677" s="102"/>
      <c r="AP677" s="102"/>
      <c r="AQ677" s="102"/>
      <c r="AR677" s="102"/>
      <c r="AS677" s="102"/>
      <c r="AT677" s="102"/>
      <c r="AU677" s="102"/>
    </row>
    <row r="678" spans="1:47" s="78" customFormat="1" ht="12.6" customHeight="1" x14ac:dyDescent="0.3">
      <c r="A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row>
    <row r="679" spans="1:47" s="78" customFormat="1" ht="12.6" customHeight="1" x14ac:dyDescent="0.3">
      <c r="A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row>
    <row r="680" spans="1:47" s="78" customFormat="1" ht="12.6" customHeight="1" x14ac:dyDescent="0.3">
      <c r="A680" s="102"/>
      <c r="V680" s="102"/>
      <c r="W680" s="102"/>
      <c r="X680" s="102"/>
      <c r="Y680" s="102"/>
      <c r="Z680" s="102"/>
      <c r="AA680" s="102"/>
      <c r="AB680" s="102"/>
      <c r="AC680" s="102"/>
      <c r="AD680" s="102"/>
      <c r="AE680" s="102"/>
      <c r="AF680" s="102"/>
      <c r="AG680" s="102"/>
      <c r="AH680" s="102"/>
      <c r="AI680" s="102"/>
      <c r="AJ680" s="102"/>
      <c r="AK680" s="102"/>
      <c r="AL680" s="102"/>
      <c r="AM680" s="102"/>
      <c r="AN680" s="102"/>
      <c r="AO680" s="102"/>
      <c r="AP680" s="102"/>
      <c r="AQ680" s="102"/>
      <c r="AR680" s="102"/>
      <c r="AS680" s="102"/>
      <c r="AT680" s="102"/>
      <c r="AU680" s="102"/>
    </row>
    <row r="681" spans="1:47" s="78" customFormat="1" ht="12.6" customHeight="1" x14ac:dyDescent="0.3">
      <c r="A681" s="102"/>
      <c r="V681" s="102"/>
      <c r="W681" s="102"/>
      <c r="X681" s="102"/>
      <c r="Y681" s="102"/>
      <c r="Z681" s="102"/>
      <c r="AA681" s="102"/>
      <c r="AB681" s="102"/>
      <c r="AC681" s="102"/>
      <c r="AD681" s="102"/>
      <c r="AE681" s="102"/>
      <c r="AF681" s="102"/>
      <c r="AG681" s="102"/>
      <c r="AH681" s="102"/>
      <c r="AI681" s="102"/>
      <c r="AJ681" s="102"/>
      <c r="AK681" s="102"/>
      <c r="AL681" s="102"/>
      <c r="AM681" s="102"/>
      <c r="AN681" s="102"/>
      <c r="AO681" s="102"/>
      <c r="AP681" s="102"/>
      <c r="AQ681" s="102"/>
      <c r="AR681" s="102"/>
      <c r="AS681" s="102"/>
      <c r="AT681" s="102"/>
      <c r="AU681" s="102"/>
    </row>
    <row r="682" spans="1:47" s="78" customFormat="1" ht="12.6" customHeight="1" x14ac:dyDescent="0.3">
      <c r="A682" s="102"/>
      <c r="V682" s="102"/>
      <c r="W682" s="102"/>
      <c r="X682" s="102"/>
      <c r="Y682" s="102"/>
      <c r="Z682" s="102"/>
      <c r="AA682" s="102"/>
      <c r="AB682" s="102"/>
      <c r="AC682" s="102"/>
      <c r="AD682" s="102"/>
      <c r="AE682" s="102"/>
      <c r="AF682" s="102"/>
      <c r="AG682" s="102"/>
      <c r="AH682" s="102"/>
      <c r="AI682" s="102"/>
      <c r="AJ682" s="102"/>
      <c r="AK682" s="102"/>
      <c r="AL682" s="102"/>
      <c r="AM682" s="102"/>
      <c r="AN682" s="102"/>
      <c r="AO682" s="102"/>
      <c r="AP682" s="102"/>
      <c r="AQ682" s="102"/>
      <c r="AR682" s="102"/>
      <c r="AS682" s="102"/>
      <c r="AT682" s="102"/>
      <c r="AU682" s="102"/>
    </row>
    <row r="683" spans="1:47" s="78" customFormat="1" ht="12.6" customHeight="1" x14ac:dyDescent="0.3">
      <c r="A683" s="102"/>
      <c r="V683" s="102"/>
      <c r="W683" s="102"/>
      <c r="X683" s="102"/>
      <c r="Y683" s="102"/>
      <c r="Z683" s="102"/>
      <c r="AA683" s="102"/>
      <c r="AB683" s="102"/>
      <c r="AC683" s="102"/>
      <c r="AD683" s="102"/>
      <c r="AE683" s="102"/>
      <c r="AF683" s="102"/>
      <c r="AG683" s="102"/>
      <c r="AH683" s="102"/>
      <c r="AI683" s="102"/>
      <c r="AJ683" s="102"/>
      <c r="AK683" s="102"/>
      <c r="AL683" s="102"/>
      <c r="AM683" s="102"/>
      <c r="AN683" s="102"/>
      <c r="AO683" s="102"/>
      <c r="AP683" s="102"/>
      <c r="AQ683" s="102"/>
      <c r="AR683" s="102"/>
      <c r="AS683" s="102"/>
      <c r="AT683" s="102"/>
      <c r="AU683" s="102"/>
    </row>
    <row r="684" spans="1:47" s="78" customFormat="1" ht="12.6" customHeight="1" x14ac:dyDescent="0.3">
      <c r="A684" s="102"/>
      <c r="V684" s="102"/>
      <c r="W684" s="102"/>
      <c r="X684" s="102"/>
      <c r="Y684" s="102"/>
      <c r="Z684" s="102"/>
      <c r="AA684" s="102"/>
      <c r="AB684" s="102"/>
      <c r="AC684" s="102"/>
      <c r="AD684" s="102"/>
      <c r="AE684" s="102"/>
      <c r="AF684" s="102"/>
      <c r="AG684" s="102"/>
      <c r="AH684" s="102"/>
      <c r="AI684" s="102"/>
      <c r="AJ684" s="102"/>
      <c r="AK684" s="102"/>
      <c r="AL684" s="102"/>
      <c r="AM684" s="102"/>
      <c r="AN684" s="102"/>
      <c r="AO684" s="102"/>
      <c r="AP684" s="102"/>
      <c r="AQ684" s="102"/>
      <c r="AR684" s="102"/>
      <c r="AS684" s="102"/>
      <c r="AT684" s="102"/>
      <c r="AU684" s="102"/>
    </row>
    <row r="685" spans="1:47" s="78" customFormat="1" ht="12.6" customHeight="1" x14ac:dyDescent="0.3">
      <c r="A685" s="102"/>
      <c r="V685" s="102"/>
      <c r="W685" s="102"/>
      <c r="X685" s="102"/>
      <c r="Y685" s="102"/>
      <c r="Z685" s="102"/>
      <c r="AA685" s="102"/>
      <c r="AB685" s="102"/>
      <c r="AC685" s="102"/>
      <c r="AD685" s="102"/>
      <c r="AE685" s="102"/>
      <c r="AF685" s="102"/>
      <c r="AG685" s="102"/>
      <c r="AH685" s="102"/>
      <c r="AI685" s="102"/>
      <c r="AJ685" s="102"/>
      <c r="AK685" s="102"/>
      <c r="AL685" s="102"/>
      <c r="AM685" s="102"/>
      <c r="AN685" s="102"/>
      <c r="AO685" s="102"/>
      <c r="AP685" s="102"/>
      <c r="AQ685" s="102"/>
      <c r="AR685" s="102"/>
      <c r="AS685" s="102"/>
      <c r="AT685" s="102"/>
      <c r="AU685" s="102"/>
    </row>
    <row r="686" spans="1:47" s="78" customFormat="1" ht="12.6" customHeight="1" x14ac:dyDescent="0.3">
      <c r="A686" s="102"/>
      <c r="V686" s="102"/>
      <c r="W686" s="102"/>
      <c r="X686" s="102"/>
      <c r="Y686" s="102"/>
      <c r="Z686" s="102"/>
      <c r="AA686" s="102"/>
      <c r="AB686" s="102"/>
      <c r="AC686" s="102"/>
      <c r="AD686" s="102"/>
      <c r="AE686" s="102"/>
      <c r="AF686" s="102"/>
      <c r="AG686" s="102"/>
      <c r="AH686" s="102"/>
      <c r="AI686" s="102"/>
      <c r="AJ686" s="102"/>
      <c r="AK686" s="102"/>
      <c r="AL686" s="102"/>
      <c r="AM686" s="102"/>
      <c r="AN686" s="102"/>
      <c r="AO686" s="102"/>
      <c r="AP686" s="102"/>
      <c r="AQ686" s="102"/>
      <c r="AR686" s="102"/>
      <c r="AS686" s="102"/>
      <c r="AT686" s="102"/>
      <c r="AU686" s="102"/>
    </row>
    <row r="687" spans="1:47" s="78" customFormat="1" ht="12.6" customHeight="1" x14ac:dyDescent="0.3">
      <c r="A687" s="102"/>
      <c r="V687" s="102"/>
      <c r="W687" s="102"/>
      <c r="X687" s="102"/>
      <c r="Y687" s="102"/>
      <c r="Z687" s="102"/>
      <c r="AA687" s="102"/>
      <c r="AB687" s="102"/>
      <c r="AC687" s="102"/>
      <c r="AD687" s="102"/>
      <c r="AE687" s="102"/>
      <c r="AF687" s="102"/>
      <c r="AG687" s="102"/>
      <c r="AH687" s="102"/>
      <c r="AI687" s="102"/>
      <c r="AJ687" s="102"/>
      <c r="AK687" s="102"/>
      <c r="AL687" s="102"/>
      <c r="AM687" s="102"/>
      <c r="AN687" s="102"/>
      <c r="AO687" s="102"/>
      <c r="AP687" s="102"/>
      <c r="AQ687" s="102"/>
      <c r="AR687" s="102"/>
      <c r="AS687" s="102"/>
      <c r="AT687" s="102"/>
      <c r="AU687" s="102"/>
    </row>
    <row r="688" spans="1:47" s="78" customFormat="1" ht="12.6" customHeight="1" x14ac:dyDescent="0.3">
      <c r="A688" s="102"/>
      <c r="V688" s="102"/>
      <c r="W688" s="102"/>
      <c r="X688" s="102"/>
      <c r="Y688" s="102"/>
      <c r="Z688" s="102"/>
      <c r="AA688" s="102"/>
      <c r="AB688" s="102"/>
      <c r="AC688" s="102"/>
      <c r="AD688" s="102"/>
      <c r="AE688" s="102"/>
      <c r="AF688" s="102"/>
      <c r="AG688" s="102"/>
      <c r="AH688" s="102"/>
      <c r="AI688" s="102"/>
      <c r="AJ688" s="102"/>
      <c r="AK688" s="102"/>
      <c r="AL688" s="102"/>
      <c r="AM688" s="102"/>
      <c r="AN688" s="102"/>
      <c r="AO688" s="102"/>
      <c r="AP688" s="102"/>
      <c r="AQ688" s="102"/>
      <c r="AR688" s="102"/>
      <c r="AS688" s="102"/>
      <c r="AT688" s="102"/>
      <c r="AU688" s="102"/>
    </row>
    <row r="689" spans="1:47" s="78" customFormat="1" ht="12.6" customHeight="1" x14ac:dyDescent="0.3">
      <c r="A689" s="102"/>
      <c r="V689" s="102"/>
      <c r="W689" s="102"/>
      <c r="X689" s="102"/>
      <c r="Y689" s="102"/>
      <c r="Z689" s="102"/>
      <c r="AA689" s="102"/>
      <c r="AB689" s="102"/>
      <c r="AC689" s="102"/>
      <c r="AD689" s="102"/>
      <c r="AE689" s="102"/>
      <c r="AF689" s="102"/>
      <c r="AG689" s="102"/>
      <c r="AH689" s="102"/>
      <c r="AI689" s="102"/>
      <c r="AJ689" s="102"/>
      <c r="AK689" s="102"/>
      <c r="AL689" s="102"/>
      <c r="AM689" s="102"/>
      <c r="AN689" s="102"/>
      <c r="AO689" s="102"/>
      <c r="AP689" s="102"/>
      <c r="AQ689" s="102"/>
      <c r="AR689" s="102"/>
      <c r="AS689" s="102"/>
      <c r="AT689" s="102"/>
      <c r="AU689" s="102"/>
    </row>
    <row r="690" spans="1:47" s="78" customFormat="1" ht="12.6" customHeight="1" x14ac:dyDescent="0.3">
      <c r="A690" s="102"/>
      <c r="V690" s="102"/>
      <c r="W690" s="102"/>
      <c r="X690" s="102"/>
      <c r="Y690" s="102"/>
      <c r="Z690" s="102"/>
      <c r="AA690" s="102"/>
      <c r="AB690" s="102"/>
      <c r="AC690" s="102"/>
      <c r="AD690" s="102"/>
      <c r="AE690" s="102"/>
      <c r="AF690" s="102"/>
      <c r="AG690" s="102"/>
      <c r="AH690" s="102"/>
      <c r="AI690" s="102"/>
      <c r="AJ690" s="102"/>
      <c r="AK690" s="102"/>
      <c r="AL690" s="102"/>
      <c r="AM690" s="102"/>
      <c r="AN690" s="102"/>
      <c r="AO690" s="102"/>
      <c r="AP690" s="102"/>
      <c r="AQ690" s="102"/>
      <c r="AR690" s="102"/>
      <c r="AS690" s="102"/>
      <c r="AT690" s="102"/>
      <c r="AU690" s="102"/>
    </row>
    <row r="691" spans="1:47" s="78" customFormat="1" ht="12.6" customHeight="1" x14ac:dyDescent="0.3">
      <c r="A691" s="102"/>
      <c r="V691" s="102"/>
      <c r="W691" s="102"/>
      <c r="X691" s="102"/>
      <c r="Y691" s="102"/>
      <c r="Z691" s="102"/>
      <c r="AA691" s="102"/>
      <c r="AB691" s="102"/>
      <c r="AC691" s="102"/>
      <c r="AD691" s="102"/>
      <c r="AE691" s="102"/>
      <c r="AF691" s="102"/>
      <c r="AG691" s="102"/>
      <c r="AH691" s="102"/>
      <c r="AI691" s="102"/>
      <c r="AJ691" s="102"/>
      <c r="AK691" s="102"/>
      <c r="AL691" s="102"/>
      <c r="AM691" s="102"/>
      <c r="AN691" s="102"/>
      <c r="AO691" s="102"/>
      <c r="AP691" s="102"/>
      <c r="AQ691" s="102"/>
      <c r="AR691" s="102"/>
      <c r="AS691" s="102"/>
      <c r="AT691" s="102"/>
      <c r="AU691" s="102"/>
    </row>
    <row r="692" spans="1:47" s="78" customFormat="1" ht="12.6" customHeight="1" x14ac:dyDescent="0.3">
      <c r="A692" s="102"/>
      <c r="V692" s="102"/>
      <c r="W692" s="102"/>
      <c r="X692" s="102"/>
      <c r="Y692" s="102"/>
      <c r="Z692" s="102"/>
      <c r="AA692" s="102"/>
      <c r="AB692" s="102"/>
      <c r="AC692" s="102"/>
      <c r="AD692" s="102"/>
      <c r="AE692" s="102"/>
      <c r="AF692" s="102"/>
      <c r="AG692" s="102"/>
      <c r="AH692" s="102"/>
      <c r="AI692" s="102"/>
      <c r="AJ692" s="102"/>
      <c r="AK692" s="102"/>
      <c r="AL692" s="102"/>
      <c r="AM692" s="102"/>
      <c r="AN692" s="102"/>
      <c r="AO692" s="102"/>
      <c r="AP692" s="102"/>
      <c r="AQ692" s="102"/>
      <c r="AR692" s="102"/>
      <c r="AS692" s="102"/>
      <c r="AT692" s="102"/>
      <c r="AU692" s="102"/>
    </row>
    <row r="693" spans="1:47" s="78" customFormat="1" ht="12.6" customHeight="1" x14ac:dyDescent="0.3">
      <c r="A693" s="102"/>
      <c r="V693" s="102"/>
      <c r="W693" s="102"/>
      <c r="X693" s="102"/>
      <c r="Y693" s="102"/>
      <c r="Z693" s="102"/>
      <c r="AA693" s="102"/>
      <c r="AB693" s="102"/>
      <c r="AC693" s="102"/>
      <c r="AD693" s="102"/>
      <c r="AE693" s="102"/>
      <c r="AF693" s="102"/>
      <c r="AG693" s="102"/>
      <c r="AH693" s="102"/>
      <c r="AI693" s="102"/>
      <c r="AJ693" s="102"/>
      <c r="AK693" s="102"/>
      <c r="AL693" s="102"/>
      <c r="AM693" s="102"/>
      <c r="AN693" s="102"/>
      <c r="AO693" s="102"/>
      <c r="AP693" s="102"/>
      <c r="AQ693" s="102"/>
      <c r="AR693" s="102"/>
      <c r="AS693" s="102"/>
      <c r="AT693" s="102"/>
      <c r="AU693" s="102"/>
    </row>
    <row r="694" spans="1:47" s="78" customFormat="1" ht="12.6" customHeight="1" x14ac:dyDescent="0.3">
      <c r="A694" s="102"/>
      <c r="V694" s="102"/>
      <c r="W694" s="102"/>
      <c r="X694" s="102"/>
      <c r="Y694" s="102"/>
      <c r="Z694" s="102"/>
      <c r="AA694" s="102"/>
      <c r="AB694" s="102"/>
      <c r="AC694" s="102"/>
      <c r="AD694" s="102"/>
      <c r="AE694" s="102"/>
      <c r="AF694" s="102"/>
      <c r="AG694" s="102"/>
      <c r="AH694" s="102"/>
      <c r="AI694" s="102"/>
      <c r="AJ694" s="102"/>
      <c r="AK694" s="102"/>
      <c r="AL694" s="102"/>
      <c r="AM694" s="102"/>
      <c r="AN694" s="102"/>
      <c r="AO694" s="102"/>
      <c r="AP694" s="102"/>
      <c r="AQ694" s="102"/>
      <c r="AR694" s="102"/>
      <c r="AS694" s="102"/>
      <c r="AT694" s="102"/>
      <c r="AU694" s="102"/>
    </row>
    <row r="695" spans="1:47" s="78" customFormat="1" ht="12.6" customHeight="1" x14ac:dyDescent="0.3">
      <c r="A695" s="102"/>
      <c r="V695" s="102"/>
      <c r="W695" s="102"/>
      <c r="X695" s="102"/>
      <c r="Y695" s="102"/>
      <c r="Z695" s="102"/>
      <c r="AA695" s="102"/>
      <c r="AB695" s="102"/>
      <c r="AC695" s="102"/>
      <c r="AD695" s="102"/>
      <c r="AE695" s="102"/>
      <c r="AF695" s="102"/>
      <c r="AG695" s="102"/>
      <c r="AH695" s="102"/>
      <c r="AI695" s="102"/>
      <c r="AJ695" s="102"/>
      <c r="AK695" s="102"/>
      <c r="AL695" s="102"/>
      <c r="AM695" s="102"/>
      <c r="AN695" s="102"/>
      <c r="AO695" s="102"/>
      <c r="AP695" s="102"/>
      <c r="AQ695" s="102"/>
      <c r="AR695" s="102"/>
      <c r="AS695" s="102"/>
      <c r="AT695" s="102"/>
      <c r="AU695" s="102"/>
    </row>
    <row r="696" spans="1:47" s="78" customFormat="1" ht="12.6" customHeight="1" x14ac:dyDescent="0.3">
      <c r="A696" s="102"/>
      <c r="V696" s="102"/>
      <c r="W696" s="102"/>
      <c r="X696" s="102"/>
      <c r="Y696" s="102"/>
      <c r="Z696" s="102"/>
      <c r="AA696" s="102"/>
      <c r="AB696" s="102"/>
      <c r="AC696" s="102"/>
      <c r="AD696" s="102"/>
      <c r="AE696" s="102"/>
      <c r="AF696" s="102"/>
      <c r="AG696" s="102"/>
      <c r="AH696" s="102"/>
      <c r="AI696" s="102"/>
      <c r="AJ696" s="102"/>
      <c r="AK696" s="102"/>
      <c r="AL696" s="102"/>
      <c r="AM696" s="102"/>
      <c r="AN696" s="102"/>
      <c r="AO696" s="102"/>
      <c r="AP696" s="102"/>
      <c r="AQ696" s="102"/>
      <c r="AR696" s="102"/>
      <c r="AS696" s="102"/>
      <c r="AT696" s="102"/>
      <c r="AU696" s="102"/>
    </row>
    <row r="697" spans="1:47" s="78" customFormat="1" ht="12.6" customHeight="1" x14ac:dyDescent="0.3">
      <c r="A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row>
    <row r="698" spans="1:47" s="78" customFormat="1" ht="12.6" customHeight="1" x14ac:dyDescent="0.3">
      <c r="A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row>
    <row r="699" spans="1:47" s="78" customFormat="1" ht="12.6" customHeight="1" x14ac:dyDescent="0.3">
      <c r="A699" s="102"/>
      <c r="V699" s="102"/>
      <c r="W699" s="102"/>
      <c r="X699" s="102"/>
      <c r="Y699" s="102"/>
      <c r="Z699" s="102"/>
      <c r="AA699" s="102"/>
      <c r="AB699" s="102"/>
      <c r="AC699" s="102"/>
      <c r="AD699" s="102"/>
      <c r="AE699" s="102"/>
      <c r="AF699" s="102"/>
      <c r="AG699" s="102"/>
      <c r="AH699" s="102"/>
      <c r="AI699" s="102"/>
      <c r="AJ699" s="102"/>
      <c r="AK699" s="102"/>
      <c r="AL699" s="102"/>
      <c r="AM699" s="102"/>
      <c r="AN699" s="102"/>
      <c r="AO699" s="102"/>
      <c r="AP699" s="102"/>
      <c r="AQ699" s="102"/>
      <c r="AR699" s="102"/>
      <c r="AS699" s="102"/>
      <c r="AT699" s="102"/>
      <c r="AU699" s="102"/>
    </row>
    <row r="700" spans="1:47" s="78" customFormat="1" ht="12.6" customHeight="1" x14ac:dyDescent="0.3">
      <c r="A700" s="102"/>
      <c r="V700" s="102"/>
      <c r="W700" s="102"/>
      <c r="X700" s="102"/>
      <c r="Y700" s="102"/>
      <c r="Z700" s="102"/>
      <c r="AA700" s="102"/>
      <c r="AB700" s="102"/>
      <c r="AC700" s="102"/>
      <c r="AD700" s="102"/>
      <c r="AE700" s="102"/>
      <c r="AF700" s="102"/>
      <c r="AG700" s="102"/>
      <c r="AH700" s="102"/>
      <c r="AI700" s="102"/>
      <c r="AJ700" s="102"/>
      <c r="AK700" s="102"/>
      <c r="AL700" s="102"/>
      <c r="AM700" s="102"/>
      <c r="AN700" s="102"/>
      <c r="AO700" s="102"/>
      <c r="AP700" s="102"/>
      <c r="AQ700" s="102"/>
      <c r="AR700" s="102"/>
      <c r="AS700" s="102"/>
      <c r="AT700" s="102"/>
      <c r="AU700" s="102"/>
    </row>
    <row r="701" spans="1:47" s="78" customFormat="1" ht="12.6" customHeight="1" x14ac:dyDescent="0.3">
      <c r="A701" s="102"/>
      <c r="V701" s="102"/>
      <c r="W701" s="102"/>
      <c r="X701" s="102"/>
      <c r="Y701" s="102"/>
      <c r="Z701" s="102"/>
      <c r="AA701" s="102"/>
      <c r="AB701" s="102"/>
      <c r="AC701" s="102"/>
      <c r="AD701" s="102"/>
      <c r="AE701" s="102"/>
      <c r="AF701" s="102"/>
      <c r="AG701" s="102"/>
      <c r="AH701" s="102"/>
      <c r="AI701" s="102"/>
      <c r="AJ701" s="102"/>
      <c r="AK701" s="102"/>
      <c r="AL701" s="102"/>
      <c r="AM701" s="102"/>
      <c r="AN701" s="102"/>
      <c r="AO701" s="102"/>
      <c r="AP701" s="102"/>
      <c r="AQ701" s="102"/>
      <c r="AR701" s="102"/>
      <c r="AS701" s="102"/>
      <c r="AT701" s="102"/>
      <c r="AU701" s="102"/>
    </row>
    <row r="702" spans="1:47" s="78" customFormat="1" ht="12.6" customHeight="1" x14ac:dyDescent="0.3">
      <c r="A702" s="102"/>
      <c r="V702" s="102"/>
      <c r="W702" s="102"/>
      <c r="X702" s="102"/>
      <c r="Y702" s="102"/>
      <c r="Z702" s="102"/>
      <c r="AA702" s="102"/>
      <c r="AB702" s="102"/>
      <c r="AC702" s="102"/>
      <c r="AD702" s="102"/>
      <c r="AE702" s="102"/>
      <c r="AF702" s="102"/>
      <c r="AG702" s="102"/>
      <c r="AH702" s="102"/>
      <c r="AI702" s="102"/>
      <c r="AJ702" s="102"/>
      <c r="AK702" s="102"/>
      <c r="AL702" s="102"/>
      <c r="AM702" s="102"/>
      <c r="AN702" s="102"/>
      <c r="AO702" s="102"/>
      <c r="AP702" s="102"/>
      <c r="AQ702" s="102"/>
      <c r="AR702" s="102"/>
      <c r="AS702" s="102"/>
      <c r="AT702" s="102"/>
      <c r="AU702" s="102"/>
    </row>
    <row r="703" spans="1:47" s="78" customFormat="1" ht="12.6" customHeight="1" x14ac:dyDescent="0.3">
      <c r="A703" s="102"/>
      <c r="V703" s="102"/>
      <c r="W703" s="102"/>
      <c r="X703" s="102"/>
      <c r="Y703" s="102"/>
      <c r="Z703" s="102"/>
      <c r="AA703" s="102"/>
      <c r="AB703" s="102"/>
      <c r="AC703" s="102"/>
      <c r="AD703" s="102"/>
      <c r="AE703" s="102"/>
      <c r="AF703" s="102"/>
      <c r="AG703" s="102"/>
      <c r="AH703" s="102"/>
      <c r="AI703" s="102"/>
      <c r="AJ703" s="102"/>
      <c r="AK703" s="102"/>
      <c r="AL703" s="102"/>
      <c r="AM703" s="102"/>
      <c r="AN703" s="102"/>
      <c r="AO703" s="102"/>
      <c r="AP703" s="102"/>
      <c r="AQ703" s="102"/>
      <c r="AR703" s="102"/>
      <c r="AS703" s="102"/>
      <c r="AT703" s="102"/>
      <c r="AU703" s="102"/>
    </row>
    <row r="704" spans="1:47" s="78" customFormat="1" ht="12.6" customHeight="1" x14ac:dyDescent="0.3">
      <c r="A704" s="102"/>
      <c r="V704" s="102"/>
      <c r="W704" s="102"/>
      <c r="X704" s="102"/>
      <c r="Y704" s="102"/>
      <c r="Z704" s="102"/>
      <c r="AA704" s="102"/>
      <c r="AB704" s="102"/>
      <c r="AC704" s="102"/>
      <c r="AD704" s="102"/>
      <c r="AE704" s="102"/>
      <c r="AF704" s="102"/>
      <c r="AG704" s="102"/>
      <c r="AH704" s="102"/>
      <c r="AI704" s="102"/>
      <c r="AJ704" s="102"/>
      <c r="AK704" s="102"/>
      <c r="AL704" s="102"/>
      <c r="AM704" s="102"/>
      <c r="AN704" s="102"/>
      <c r="AO704" s="102"/>
      <c r="AP704" s="102"/>
      <c r="AQ704" s="102"/>
      <c r="AR704" s="102"/>
      <c r="AS704" s="102"/>
      <c r="AT704" s="102"/>
      <c r="AU704" s="102"/>
    </row>
    <row r="705" spans="1:47" s="78" customFormat="1" ht="12.6" customHeight="1" x14ac:dyDescent="0.3">
      <c r="A705" s="102"/>
      <c r="V705" s="102"/>
      <c r="W705" s="102"/>
      <c r="X705" s="102"/>
      <c r="Y705" s="102"/>
      <c r="Z705" s="102"/>
      <c r="AA705" s="102"/>
      <c r="AB705" s="102"/>
      <c r="AC705" s="102"/>
      <c r="AD705" s="102"/>
      <c r="AE705" s="102"/>
      <c r="AF705" s="102"/>
      <c r="AG705" s="102"/>
      <c r="AH705" s="102"/>
      <c r="AI705" s="102"/>
      <c r="AJ705" s="102"/>
      <c r="AK705" s="102"/>
      <c r="AL705" s="102"/>
      <c r="AM705" s="102"/>
      <c r="AN705" s="102"/>
      <c r="AO705" s="102"/>
      <c r="AP705" s="102"/>
      <c r="AQ705" s="102"/>
      <c r="AR705" s="102"/>
      <c r="AS705" s="102"/>
      <c r="AT705" s="102"/>
      <c r="AU705" s="102"/>
    </row>
    <row r="706" spans="1:47" s="78" customFormat="1" ht="12.6" customHeight="1" x14ac:dyDescent="0.3">
      <c r="A706" s="102"/>
      <c r="V706" s="102"/>
      <c r="W706" s="102"/>
      <c r="X706" s="102"/>
      <c r="Y706" s="102"/>
      <c r="Z706" s="102"/>
      <c r="AA706" s="102"/>
      <c r="AB706" s="102"/>
      <c r="AC706" s="102"/>
      <c r="AD706" s="102"/>
      <c r="AE706" s="102"/>
      <c r="AF706" s="102"/>
      <c r="AG706" s="102"/>
      <c r="AH706" s="102"/>
      <c r="AI706" s="102"/>
      <c r="AJ706" s="102"/>
      <c r="AK706" s="102"/>
      <c r="AL706" s="102"/>
      <c r="AM706" s="102"/>
      <c r="AN706" s="102"/>
      <c r="AO706" s="102"/>
      <c r="AP706" s="102"/>
      <c r="AQ706" s="102"/>
      <c r="AR706" s="102"/>
      <c r="AS706" s="102"/>
      <c r="AT706" s="102"/>
      <c r="AU706" s="102"/>
    </row>
    <row r="707" spans="1:47" s="78" customFormat="1" ht="12.6" customHeight="1" x14ac:dyDescent="0.3">
      <c r="A707" s="102"/>
      <c r="V707" s="102"/>
      <c r="W707" s="102"/>
      <c r="X707" s="102"/>
      <c r="Y707" s="102"/>
      <c r="Z707" s="102"/>
      <c r="AA707" s="102"/>
      <c r="AB707" s="102"/>
      <c r="AC707" s="102"/>
      <c r="AD707" s="102"/>
      <c r="AE707" s="102"/>
      <c r="AF707" s="102"/>
      <c r="AG707" s="102"/>
      <c r="AH707" s="102"/>
      <c r="AI707" s="102"/>
      <c r="AJ707" s="102"/>
      <c r="AK707" s="102"/>
      <c r="AL707" s="102"/>
      <c r="AM707" s="102"/>
      <c r="AN707" s="102"/>
      <c r="AO707" s="102"/>
      <c r="AP707" s="102"/>
      <c r="AQ707" s="102"/>
      <c r="AR707" s="102"/>
      <c r="AS707" s="102"/>
      <c r="AT707" s="102"/>
      <c r="AU707" s="102"/>
    </row>
    <row r="708" spans="1:47" s="78" customFormat="1" ht="12.6" customHeight="1" x14ac:dyDescent="0.3">
      <c r="A708" s="102"/>
      <c r="V708" s="102"/>
      <c r="W708" s="102"/>
      <c r="X708" s="102"/>
      <c r="Y708" s="102"/>
      <c r="Z708" s="102"/>
      <c r="AA708" s="102"/>
      <c r="AB708" s="102"/>
      <c r="AC708" s="102"/>
      <c r="AD708" s="102"/>
      <c r="AE708" s="102"/>
      <c r="AF708" s="102"/>
      <c r="AG708" s="102"/>
      <c r="AH708" s="102"/>
      <c r="AI708" s="102"/>
      <c r="AJ708" s="102"/>
      <c r="AK708" s="102"/>
      <c r="AL708" s="102"/>
      <c r="AM708" s="102"/>
      <c r="AN708" s="102"/>
      <c r="AO708" s="102"/>
      <c r="AP708" s="102"/>
      <c r="AQ708" s="102"/>
      <c r="AR708" s="102"/>
      <c r="AS708" s="102"/>
      <c r="AT708" s="102"/>
      <c r="AU708" s="102"/>
    </row>
    <row r="709" spans="1:47" s="78" customFormat="1" ht="12.6" customHeight="1" x14ac:dyDescent="0.3">
      <c r="A709" s="102"/>
      <c r="V709" s="102"/>
      <c r="W709" s="102"/>
      <c r="X709" s="102"/>
      <c r="Y709" s="102"/>
      <c r="Z709" s="102"/>
      <c r="AA709" s="102"/>
      <c r="AB709" s="102"/>
      <c r="AC709" s="102"/>
      <c r="AD709" s="102"/>
      <c r="AE709" s="102"/>
      <c r="AF709" s="102"/>
      <c r="AG709" s="102"/>
      <c r="AH709" s="102"/>
      <c r="AI709" s="102"/>
      <c r="AJ709" s="102"/>
      <c r="AK709" s="102"/>
      <c r="AL709" s="102"/>
      <c r="AM709" s="102"/>
      <c r="AN709" s="102"/>
      <c r="AO709" s="102"/>
      <c r="AP709" s="102"/>
      <c r="AQ709" s="102"/>
      <c r="AR709" s="102"/>
      <c r="AS709" s="102"/>
      <c r="AT709" s="102"/>
      <c r="AU709" s="102"/>
    </row>
    <row r="710" spans="1:47" s="78" customFormat="1" ht="12.6" customHeight="1" x14ac:dyDescent="0.3">
      <c r="A710" s="102"/>
      <c r="V710" s="102"/>
      <c r="W710" s="102"/>
      <c r="X710" s="102"/>
      <c r="Y710" s="102"/>
      <c r="Z710" s="102"/>
      <c r="AA710" s="102"/>
      <c r="AB710" s="102"/>
      <c r="AC710" s="102"/>
      <c r="AD710" s="102"/>
      <c r="AE710" s="102"/>
      <c r="AF710" s="102"/>
      <c r="AG710" s="102"/>
      <c r="AH710" s="102"/>
      <c r="AI710" s="102"/>
      <c r="AJ710" s="102"/>
      <c r="AK710" s="102"/>
      <c r="AL710" s="102"/>
      <c r="AM710" s="102"/>
      <c r="AN710" s="102"/>
      <c r="AO710" s="102"/>
      <c r="AP710" s="102"/>
      <c r="AQ710" s="102"/>
      <c r="AR710" s="102"/>
      <c r="AS710" s="102"/>
      <c r="AT710" s="102"/>
      <c r="AU710" s="102"/>
    </row>
    <row r="711" spans="1:47" s="78" customFormat="1" ht="12.6" customHeight="1" x14ac:dyDescent="0.3">
      <c r="A711" s="102"/>
      <c r="V711" s="102"/>
      <c r="W711" s="102"/>
      <c r="X711" s="102"/>
      <c r="Y711" s="102"/>
      <c r="Z711" s="102"/>
      <c r="AA711" s="102"/>
      <c r="AB711" s="102"/>
      <c r="AC711" s="102"/>
      <c r="AD711" s="102"/>
      <c r="AE711" s="102"/>
      <c r="AF711" s="102"/>
      <c r="AG711" s="102"/>
      <c r="AH711" s="102"/>
      <c r="AI711" s="102"/>
      <c r="AJ711" s="102"/>
      <c r="AK711" s="102"/>
      <c r="AL711" s="102"/>
      <c r="AM711" s="102"/>
      <c r="AN711" s="102"/>
      <c r="AO711" s="102"/>
      <c r="AP711" s="102"/>
      <c r="AQ711" s="102"/>
      <c r="AR711" s="102"/>
      <c r="AS711" s="102"/>
      <c r="AT711" s="102"/>
      <c r="AU711" s="102"/>
    </row>
    <row r="712" spans="1:47" s="78" customFormat="1" ht="12.6" customHeight="1" x14ac:dyDescent="0.3">
      <c r="A712" s="102"/>
      <c r="V712" s="102"/>
      <c r="W712" s="102"/>
      <c r="X712" s="102"/>
      <c r="Y712" s="102"/>
      <c r="Z712" s="102"/>
      <c r="AA712" s="102"/>
      <c r="AB712" s="102"/>
      <c r="AC712" s="102"/>
      <c r="AD712" s="102"/>
      <c r="AE712" s="102"/>
      <c r="AF712" s="102"/>
      <c r="AG712" s="102"/>
      <c r="AH712" s="102"/>
      <c r="AI712" s="102"/>
      <c r="AJ712" s="102"/>
      <c r="AK712" s="102"/>
      <c r="AL712" s="102"/>
      <c r="AM712" s="102"/>
      <c r="AN712" s="102"/>
      <c r="AO712" s="102"/>
      <c r="AP712" s="102"/>
      <c r="AQ712" s="102"/>
      <c r="AR712" s="102"/>
      <c r="AS712" s="102"/>
      <c r="AT712" s="102"/>
      <c r="AU712" s="102"/>
    </row>
    <row r="713" spans="1:47" s="78" customFormat="1" ht="12.6" customHeight="1" x14ac:dyDescent="0.3">
      <c r="A713" s="102"/>
      <c r="V713" s="102"/>
      <c r="W713" s="102"/>
      <c r="X713" s="102"/>
      <c r="Y713" s="102"/>
      <c r="Z713" s="102"/>
      <c r="AA713" s="102"/>
      <c r="AB713" s="102"/>
      <c r="AC713" s="102"/>
      <c r="AD713" s="102"/>
      <c r="AE713" s="102"/>
      <c r="AF713" s="102"/>
      <c r="AG713" s="102"/>
      <c r="AH713" s="102"/>
      <c r="AI713" s="102"/>
      <c r="AJ713" s="102"/>
      <c r="AK713" s="102"/>
      <c r="AL713" s="102"/>
      <c r="AM713" s="102"/>
      <c r="AN713" s="102"/>
      <c r="AO713" s="102"/>
      <c r="AP713" s="102"/>
      <c r="AQ713" s="102"/>
      <c r="AR713" s="102"/>
      <c r="AS713" s="102"/>
      <c r="AT713" s="102"/>
      <c r="AU713" s="102"/>
    </row>
    <row r="714" spans="1:47" s="78" customFormat="1" ht="12.6" customHeight="1" x14ac:dyDescent="0.3">
      <c r="A714" s="102"/>
      <c r="V714" s="102"/>
      <c r="W714" s="102"/>
      <c r="X714" s="102"/>
      <c r="Y714" s="102"/>
      <c r="Z714" s="102"/>
      <c r="AA714" s="102"/>
      <c r="AB714" s="102"/>
      <c r="AC714" s="102"/>
      <c r="AD714" s="102"/>
      <c r="AE714" s="102"/>
      <c r="AF714" s="102"/>
      <c r="AG714" s="102"/>
      <c r="AH714" s="102"/>
      <c r="AI714" s="102"/>
      <c r="AJ714" s="102"/>
      <c r="AK714" s="102"/>
      <c r="AL714" s="102"/>
      <c r="AM714" s="102"/>
      <c r="AN714" s="102"/>
      <c r="AO714" s="102"/>
      <c r="AP714" s="102"/>
      <c r="AQ714" s="102"/>
      <c r="AR714" s="102"/>
      <c r="AS714" s="102"/>
      <c r="AT714" s="102"/>
      <c r="AU714" s="102"/>
    </row>
    <row r="715" spans="1:47" s="78" customFormat="1" ht="12.6" customHeight="1" x14ac:dyDescent="0.3">
      <c r="A715" s="102"/>
      <c r="V715" s="102"/>
      <c r="W715" s="102"/>
      <c r="X715" s="102"/>
      <c r="Y715" s="102"/>
      <c r="Z715" s="102"/>
      <c r="AA715" s="102"/>
      <c r="AB715" s="102"/>
      <c r="AC715" s="102"/>
      <c r="AD715" s="102"/>
      <c r="AE715" s="102"/>
      <c r="AF715" s="102"/>
      <c r="AG715" s="102"/>
      <c r="AH715" s="102"/>
      <c r="AI715" s="102"/>
      <c r="AJ715" s="102"/>
      <c r="AK715" s="102"/>
      <c r="AL715" s="102"/>
      <c r="AM715" s="102"/>
      <c r="AN715" s="102"/>
      <c r="AO715" s="102"/>
      <c r="AP715" s="102"/>
      <c r="AQ715" s="102"/>
      <c r="AR715" s="102"/>
      <c r="AS715" s="102"/>
      <c r="AT715" s="102"/>
      <c r="AU715" s="102"/>
    </row>
    <row r="716" spans="1:47" s="78" customFormat="1" ht="12.6" customHeight="1" x14ac:dyDescent="0.3">
      <c r="A716" s="102"/>
      <c r="V716" s="102"/>
      <c r="W716" s="102"/>
      <c r="X716" s="102"/>
      <c r="Y716" s="102"/>
      <c r="Z716" s="102"/>
      <c r="AA716" s="102"/>
      <c r="AB716" s="102"/>
      <c r="AC716" s="102"/>
      <c r="AD716" s="102"/>
      <c r="AE716" s="102"/>
      <c r="AF716" s="102"/>
      <c r="AG716" s="102"/>
      <c r="AH716" s="102"/>
      <c r="AI716" s="102"/>
      <c r="AJ716" s="102"/>
      <c r="AK716" s="102"/>
      <c r="AL716" s="102"/>
      <c r="AM716" s="102"/>
      <c r="AN716" s="102"/>
      <c r="AO716" s="102"/>
      <c r="AP716" s="102"/>
      <c r="AQ716" s="102"/>
      <c r="AR716" s="102"/>
      <c r="AS716" s="102"/>
      <c r="AT716" s="102"/>
      <c r="AU716" s="102"/>
    </row>
    <row r="717" spans="1:47" s="78" customFormat="1" ht="12.6" customHeight="1" x14ac:dyDescent="0.3">
      <c r="A717" s="102"/>
      <c r="V717" s="102"/>
      <c r="W717" s="102"/>
      <c r="X717" s="102"/>
      <c r="Y717" s="102"/>
      <c r="Z717" s="102"/>
      <c r="AA717" s="102"/>
      <c r="AB717" s="102"/>
      <c r="AC717" s="102"/>
      <c r="AD717" s="102"/>
      <c r="AE717" s="102"/>
      <c r="AF717" s="102"/>
      <c r="AG717" s="102"/>
      <c r="AH717" s="102"/>
      <c r="AI717" s="102"/>
      <c r="AJ717" s="102"/>
      <c r="AK717" s="102"/>
      <c r="AL717" s="102"/>
      <c r="AM717" s="102"/>
      <c r="AN717" s="102"/>
      <c r="AO717" s="102"/>
      <c r="AP717" s="102"/>
      <c r="AQ717" s="102"/>
      <c r="AR717" s="102"/>
      <c r="AS717" s="102"/>
      <c r="AT717" s="102"/>
      <c r="AU717" s="102"/>
    </row>
    <row r="718" spans="1:47" s="78" customFormat="1" ht="12.6" customHeight="1" x14ac:dyDescent="0.3">
      <c r="A718" s="102"/>
      <c r="V718" s="102"/>
      <c r="W718" s="102"/>
      <c r="X718" s="102"/>
      <c r="Y718" s="102"/>
      <c r="Z718" s="102"/>
      <c r="AA718" s="102"/>
      <c r="AB718" s="102"/>
      <c r="AC718" s="102"/>
      <c r="AD718" s="102"/>
      <c r="AE718" s="102"/>
      <c r="AF718" s="102"/>
      <c r="AG718" s="102"/>
      <c r="AH718" s="102"/>
      <c r="AI718" s="102"/>
      <c r="AJ718" s="102"/>
      <c r="AK718" s="102"/>
      <c r="AL718" s="102"/>
      <c r="AM718" s="102"/>
      <c r="AN718" s="102"/>
      <c r="AO718" s="102"/>
      <c r="AP718" s="102"/>
      <c r="AQ718" s="102"/>
      <c r="AR718" s="102"/>
      <c r="AS718" s="102"/>
      <c r="AT718" s="102"/>
      <c r="AU718" s="102"/>
    </row>
    <row r="719" spans="1:47" s="78" customFormat="1" ht="12.6" customHeight="1" x14ac:dyDescent="0.3">
      <c r="A719" s="102"/>
      <c r="V719" s="102"/>
      <c r="W719" s="102"/>
      <c r="X719" s="102"/>
      <c r="Y719" s="102"/>
      <c r="Z719" s="102"/>
      <c r="AA719" s="102"/>
      <c r="AB719" s="102"/>
      <c r="AC719" s="102"/>
      <c r="AD719" s="102"/>
      <c r="AE719" s="102"/>
      <c r="AF719" s="102"/>
      <c r="AG719" s="102"/>
      <c r="AH719" s="102"/>
      <c r="AI719" s="102"/>
      <c r="AJ719" s="102"/>
      <c r="AK719" s="102"/>
      <c r="AL719" s="102"/>
      <c r="AM719" s="102"/>
      <c r="AN719" s="102"/>
      <c r="AO719" s="102"/>
      <c r="AP719" s="102"/>
      <c r="AQ719" s="102"/>
      <c r="AR719" s="102"/>
      <c r="AS719" s="102"/>
      <c r="AT719" s="102"/>
      <c r="AU719" s="102"/>
    </row>
    <row r="720" spans="1:47" s="78" customFormat="1" ht="12.6" customHeight="1" x14ac:dyDescent="0.3">
      <c r="A720" s="102"/>
      <c r="V720" s="102"/>
      <c r="W720" s="102"/>
      <c r="X720" s="102"/>
      <c r="Y720" s="102"/>
      <c r="Z720" s="102"/>
      <c r="AA720" s="102"/>
      <c r="AB720" s="102"/>
      <c r="AC720" s="102"/>
      <c r="AD720" s="102"/>
      <c r="AE720" s="102"/>
      <c r="AF720" s="102"/>
      <c r="AG720" s="102"/>
      <c r="AH720" s="102"/>
      <c r="AI720" s="102"/>
      <c r="AJ720" s="102"/>
      <c r="AK720" s="102"/>
      <c r="AL720" s="102"/>
      <c r="AM720" s="102"/>
      <c r="AN720" s="102"/>
      <c r="AO720" s="102"/>
      <c r="AP720" s="102"/>
      <c r="AQ720" s="102"/>
      <c r="AR720" s="102"/>
      <c r="AS720" s="102"/>
      <c r="AT720" s="102"/>
      <c r="AU720" s="102"/>
    </row>
    <row r="721" spans="1:47" s="78" customFormat="1" ht="12.6" customHeight="1" x14ac:dyDescent="0.3">
      <c r="A721" s="102"/>
      <c r="V721" s="102"/>
      <c r="W721" s="102"/>
      <c r="X721" s="102"/>
      <c r="Y721" s="102"/>
      <c r="Z721" s="102"/>
      <c r="AA721" s="102"/>
      <c r="AB721" s="102"/>
      <c r="AC721" s="102"/>
      <c r="AD721" s="102"/>
      <c r="AE721" s="102"/>
      <c r="AF721" s="102"/>
      <c r="AG721" s="102"/>
      <c r="AH721" s="102"/>
      <c r="AI721" s="102"/>
      <c r="AJ721" s="102"/>
      <c r="AK721" s="102"/>
      <c r="AL721" s="102"/>
      <c r="AM721" s="102"/>
      <c r="AN721" s="102"/>
      <c r="AO721" s="102"/>
      <c r="AP721" s="102"/>
      <c r="AQ721" s="102"/>
      <c r="AR721" s="102"/>
      <c r="AS721" s="102"/>
      <c r="AT721" s="102"/>
      <c r="AU721" s="102"/>
    </row>
    <row r="722" spans="1:47" s="78" customFormat="1" ht="12.6" customHeight="1" x14ac:dyDescent="0.3">
      <c r="A722" s="102"/>
      <c r="V722" s="102"/>
      <c r="W722" s="102"/>
      <c r="X722" s="102"/>
      <c r="Y722" s="102"/>
      <c r="Z722" s="102"/>
      <c r="AA722" s="102"/>
      <c r="AB722" s="102"/>
      <c r="AC722" s="102"/>
      <c r="AD722" s="102"/>
      <c r="AE722" s="102"/>
      <c r="AF722" s="102"/>
      <c r="AG722" s="102"/>
      <c r="AH722" s="102"/>
      <c r="AI722" s="102"/>
      <c r="AJ722" s="102"/>
      <c r="AK722" s="102"/>
      <c r="AL722" s="102"/>
      <c r="AM722" s="102"/>
      <c r="AN722" s="102"/>
      <c r="AO722" s="102"/>
      <c r="AP722" s="102"/>
      <c r="AQ722" s="102"/>
      <c r="AR722" s="102"/>
      <c r="AS722" s="102"/>
      <c r="AT722" s="102"/>
      <c r="AU722" s="102"/>
    </row>
    <row r="723" spans="1:47" s="78" customFormat="1" ht="12.6" customHeight="1" x14ac:dyDescent="0.3">
      <c r="A723" s="102"/>
      <c r="V723" s="102"/>
      <c r="W723" s="102"/>
      <c r="X723" s="102"/>
      <c r="Y723" s="102"/>
      <c r="Z723" s="102"/>
      <c r="AA723" s="102"/>
      <c r="AB723" s="102"/>
      <c r="AC723" s="102"/>
      <c r="AD723" s="102"/>
      <c r="AE723" s="102"/>
      <c r="AF723" s="102"/>
      <c r="AG723" s="102"/>
      <c r="AH723" s="102"/>
      <c r="AI723" s="102"/>
      <c r="AJ723" s="102"/>
      <c r="AK723" s="102"/>
      <c r="AL723" s="102"/>
      <c r="AM723" s="102"/>
      <c r="AN723" s="102"/>
      <c r="AO723" s="102"/>
      <c r="AP723" s="102"/>
      <c r="AQ723" s="102"/>
      <c r="AR723" s="102"/>
      <c r="AS723" s="102"/>
      <c r="AT723" s="102"/>
      <c r="AU723" s="102"/>
    </row>
    <row r="724" spans="1:47" s="78" customFormat="1" ht="12.6" customHeight="1" x14ac:dyDescent="0.3">
      <c r="A724" s="102"/>
      <c r="V724" s="102"/>
      <c r="W724" s="102"/>
      <c r="X724" s="102"/>
      <c r="Y724" s="102"/>
      <c r="Z724" s="102"/>
      <c r="AA724" s="102"/>
      <c r="AB724" s="102"/>
      <c r="AC724" s="102"/>
      <c r="AD724" s="102"/>
      <c r="AE724" s="102"/>
      <c r="AF724" s="102"/>
      <c r="AG724" s="102"/>
      <c r="AH724" s="102"/>
      <c r="AI724" s="102"/>
      <c r="AJ724" s="102"/>
      <c r="AK724" s="102"/>
      <c r="AL724" s="102"/>
      <c r="AM724" s="102"/>
      <c r="AN724" s="102"/>
      <c r="AO724" s="102"/>
      <c r="AP724" s="102"/>
      <c r="AQ724" s="102"/>
      <c r="AR724" s="102"/>
      <c r="AS724" s="102"/>
      <c r="AT724" s="102"/>
      <c r="AU724" s="102"/>
    </row>
    <row r="725" spans="1:47" s="78" customFormat="1" ht="12.6" customHeight="1" x14ac:dyDescent="0.3">
      <c r="A725" s="102"/>
      <c r="V725" s="102"/>
      <c r="W725" s="102"/>
      <c r="X725" s="102"/>
      <c r="Y725" s="102"/>
      <c r="Z725" s="102"/>
      <c r="AA725" s="102"/>
      <c r="AB725" s="102"/>
      <c r="AC725" s="102"/>
      <c r="AD725" s="102"/>
      <c r="AE725" s="102"/>
      <c r="AF725" s="102"/>
      <c r="AG725" s="102"/>
      <c r="AH725" s="102"/>
      <c r="AI725" s="102"/>
      <c r="AJ725" s="102"/>
      <c r="AK725" s="102"/>
      <c r="AL725" s="102"/>
      <c r="AM725" s="102"/>
      <c r="AN725" s="102"/>
      <c r="AO725" s="102"/>
      <c r="AP725" s="102"/>
      <c r="AQ725" s="102"/>
      <c r="AR725" s="102"/>
      <c r="AS725" s="102"/>
      <c r="AT725" s="102"/>
      <c r="AU725" s="102"/>
    </row>
    <row r="726" spans="1:47" s="78" customFormat="1" ht="12.6" customHeight="1" x14ac:dyDescent="0.3">
      <c r="A726" s="102"/>
      <c r="V726" s="102"/>
      <c r="W726" s="102"/>
      <c r="X726" s="102"/>
      <c r="Y726" s="102"/>
      <c r="Z726" s="102"/>
      <c r="AA726" s="102"/>
      <c r="AB726" s="102"/>
      <c r="AC726" s="102"/>
      <c r="AD726" s="102"/>
      <c r="AE726" s="102"/>
      <c r="AF726" s="102"/>
      <c r="AG726" s="102"/>
      <c r="AH726" s="102"/>
      <c r="AI726" s="102"/>
      <c r="AJ726" s="102"/>
      <c r="AK726" s="102"/>
      <c r="AL726" s="102"/>
      <c r="AM726" s="102"/>
      <c r="AN726" s="102"/>
      <c r="AO726" s="102"/>
      <c r="AP726" s="102"/>
      <c r="AQ726" s="102"/>
      <c r="AR726" s="102"/>
      <c r="AS726" s="102"/>
      <c r="AT726" s="102"/>
      <c r="AU726" s="102"/>
    </row>
    <row r="727" spans="1:47" s="78" customFormat="1" ht="12.6" customHeight="1" x14ac:dyDescent="0.3">
      <c r="A727" s="102"/>
      <c r="V727" s="102"/>
      <c r="W727" s="102"/>
      <c r="X727" s="102"/>
      <c r="Y727" s="102"/>
      <c r="Z727" s="102"/>
      <c r="AA727" s="102"/>
      <c r="AB727" s="102"/>
      <c r="AC727" s="102"/>
      <c r="AD727" s="102"/>
      <c r="AE727" s="102"/>
      <c r="AF727" s="102"/>
      <c r="AG727" s="102"/>
      <c r="AH727" s="102"/>
      <c r="AI727" s="102"/>
      <c r="AJ727" s="102"/>
      <c r="AK727" s="102"/>
      <c r="AL727" s="102"/>
      <c r="AM727" s="102"/>
      <c r="AN727" s="102"/>
      <c r="AO727" s="102"/>
      <c r="AP727" s="102"/>
      <c r="AQ727" s="102"/>
      <c r="AR727" s="102"/>
      <c r="AS727" s="102"/>
      <c r="AT727" s="102"/>
      <c r="AU727" s="102"/>
    </row>
    <row r="728" spans="1:47" s="78" customFormat="1" ht="12.6" customHeight="1" x14ac:dyDescent="0.3">
      <c r="A728" s="102"/>
      <c r="V728" s="102"/>
      <c r="W728" s="102"/>
      <c r="X728" s="102"/>
      <c r="Y728" s="102"/>
      <c r="Z728" s="102"/>
      <c r="AA728" s="102"/>
      <c r="AB728" s="102"/>
      <c r="AC728" s="102"/>
      <c r="AD728" s="102"/>
      <c r="AE728" s="102"/>
      <c r="AF728" s="102"/>
      <c r="AG728" s="102"/>
      <c r="AH728" s="102"/>
      <c r="AI728" s="102"/>
      <c r="AJ728" s="102"/>
      <c r="AK728" s="102"/>
      <c r="AL728" s="102"/>
      <c r="AM728" s="102"/>
      <c r="AN728" s="102"/>
      <c r="AO728" s="102"/>
      <c r="AP728" s="102"/>
      <c r="AQ728" s="102"/>
      <c r="AR728" s="102"/>
      <c r="AS728" s="102"/>
      <c r="AT728" s="102"/>
      <c r="AU728" s="102"/>
    </row>
    <row r="729" spans="1:47" s="78" customFormat="1" ht="12.6" customHeight="1" x14ac:dyDescent="0.3">
      <c r="A729" s="102"/>
      <c r="V729" s="102"/>
      <c r="W729" s="102"/>
      <c r="X729" s="102"/>
      <c r="Y729" s="102"/>
      <c r="Z729" s="102"/>
      <c r="AA729" s="102"/>
      <c r="AB729" s="102"/>
      <c r="AC729" s="102"/>
      <c r="AD729" s="102"/>
      <c r="AE729" s="102"/>
      <c r="AF729" s="102"/>
      <c r="AG729" s="102"/>
      <c r="AH729" s="102"/>
      <c r="AI729" s="102"/>
      <c r="AJ729" s="102"/>
      <c r="AK729" s="102"/>
      <c r="AL729" s="102"/>
      <c r="AM729" s="102"/>
      <c r="AN729" s="102"/>
      <c r="AO729" s="102"/>
      <c r="AP729" s="102"/>
      <c r="AQ729" s="102"/>
      <c r="AR729" s="102"/>
      <c r="AS729" s="102"/>
      <c r="AT729" s="102"/>
      <c r="AU729" s="102"/>
    </row>
    <row r="730" spans="1:47" s="78" customFormat="1" ht="12.6" customHeight="1" x14ac:dyDescent="0.3">
      <c r="A730" s="102"/>
      <c r="V730" s="102"/>
      <c r="W730" s="102"/>
      <c r="X730" s="102"/>
      <c r="Y730" s="102"/>
      <c r="Z730" s="102"/>
      <c r="AA730" s="102"/>
      <c r="AB730" s="102"/>
      <c r="AC730" s="102"/>
      <c r="AD730" s="102"/>
      <c r="AE730" s="102"/>
      <c r="AF730" s="102"/>
      <c r="AG730" s="102"/>
      <c r="AH730" s="102"/>
      <c r="AI730" s="102"/>
      <c r="AJ730" s="102"/>
      <c r="AK730" s="102"/>
      <c r="AL730" s="102"/>
      <c r="AM730" s="102"/>
      <c r="AN730" s="102"/>
      <c r="AO730" s="102"/>
      <c r="AP730" s="102"/>
      <c r="AQ730" s="102"/>
      <c r="AR730" s="102"/>
      <c r="AS730" s="102"/>
      <c r="AT730" s="102"/>
      <c r="AU730" s="102"/>
    </row>
    <row r="731" spans="1:47" s="78" customFormat="1" ht="12.6" customHeight="1" x14ac:dyDescent="0.3">
      <c r="A731" s="102"/>
      <c r="V731" s="102"/>
      <c r="W731" s="102"/>
      <c r="X731" s="102"/>
      <c r="Y731" s="102"/>
      <c r="Z731" s="102"/>
      <c r="AA731" s="102"/>
      <c r="AB731" s="102"/>
      <c r="AC731" s="102"/>
      <c r="AD731" s="102"/>
      <c r="AE731" s="102"/>
      <c r="AF731" s="102"/>
      <c r="AG731" s="102"/>
      <c r="AH731" s="102"/>
      <c r="AI731" s="102"/>
      <c r="AJ731" s="102"/>
      <c r="AK731" s="102"/>
      <c r="AL731" s="102"/>
      <c r="AM731" s="102"/>
      <c r="AN731" s="102"/>
      <c r="AO731" s="102"/>
      <c r="AP731" s="102"/>
      <c r="AQ731" s="102"/>
      <c r="AR731" s="102"/>
      <c r="AS731" s="102"/>
      <c r="AT731" s="102"/>
      <c r="AU731" s="102"/>
    </row>
    <row r="732" spans="1:47" s="78" customFormat="1" ht="12.6" customHeight="1" x14ac:dyDescent="0.3">
      <c r="A732" s="102"/>
      <c r="V732" s="102"/>
      <c r="W732" s="102"/>
      <c r="X732" s="102"/>
      <c r="Y732" s="102"/>
      <c r="Z732" s="102"/>
      <c r="AA732" s="102"/>
      <c r="AB732" s="102"/>
      <c r="AC732" s="102"/>
      <c r="AD732" s="102"/>
      <c r="AE732" s="102"/>
      <c r="AF732" s="102"/>
      <c r="AG732" s="102"/>
      <c r="AH732" s="102"/>
      <c r="AI732" s="102"/>
      <c r="AJ732" s="102"/>
      <c r="AK732" s="102"/>
      <c r="AL732" s="102"/>
      <c r="AM732" s="102"/>
      <c r="AN732" s="102"/>
      <c r="AO732" s="102"/>
      <c r="AP732" s="102"/>
      <c r="AQ732" s="102"/>
      <c r="AR732" s="102"/>
      <c r="AS732" s="102"/>
      <c r="AT732" s="102"/>
      <c r="AU732" s="102"/>
    </row>
    <row r="733" spans="1:47" s="78" customFormat="1" ht="12.6" customHeight="1" x14ac:dyDescent="0.3">
      <c r="A733" s="102"/>
      <c r="V733" s="102"/>
      <c r="W733" s="102"/>
      <c r="X733" s="102"/>
      <c r="Y733" s="102"/>
      <c r="Z733" s="102"/>
      <c r="AA733" s="102"/>
      <c r="AB733" s="102"/>
      <c r="AC733" s="102"/>
      <c r="AD733" s="102"/>
      <c r="AE733" s="102"/>
      <c r="AF733" s="102"/>
      <c r="AG733" s="102"/>
      <c r="AH733" s="102"/>
      <c r="AI733" s="102"/>
      <c r="AJ733" s="102"/>
      <c r="AK733" s="102"/>
      <c r="AL733" s="102"/>
      <c r="AM733" s="102"/>
      <c r="AN733" s="102"/>
      <c r="AO733" s="102"/>
      <c r="AP733" s="102"/>
      <c r="AQ733" s="102"/>
      <c r="AR733" s="102"/>
      <c r="AS733" s="102"/>
      <c r="AT733" s="102"/>
      <c r="AU733" s="102"/>
    </row>
    <row r="734" spans="1:47" s="78" customFormat="1" ht="12.6" customHeight="1" x14ac:dyDescent="0.3">
      <c r="A734" s="102"/>
      <c r="V734" s="102"/>
      <c r="W734" s="102"/>
      <c r="X734" s="102"/>
      <c r="Y734" s="102"/>
      <c r="Z734" s="102"/>
      <c r="AA734" s="102"/>
      <c r="AB734" s="102"/>
      <c r="AC734" s="102"/>
      <c r="AD734" s="102"/>
      <c r="AE734" s="102"/>
      <c r="AF734" s="102"/>
      <c r="AG734" s="102"/>
      <c r="AH734" s="102"/>
      <c r="AI734" s="102"/>
      <c r="AJ734" s="102"/>
      <c r="AK734" s="102"/>
      <c r="AL734" s="102"/>
      <c r="AM734" s="102"/>
      <c r="AN734" s="102"/>
      <c r="AO734" s="102"/>
      <c r="AP734" s="102"/>
      <c r="AQ734" s="102"/>
      <c r="AR734" s="102"/>
      <c r="AS734" s="102"/>
      <c r="AT734" s="102"/>
      <c r="AU734" s="102"/>
    </row>
    <row r="735" spans="1:47" s="78" customFormat="1" ht="12.6" customHeight="1" x14ac:dyDescent="0.3">
      <c r="A735" s="102"/>
      <c r="V735" s="102"/>
      <c r="W735" s="102"/>
      <c r="X735" s="102"/>
      <c r="Y735" s="102"/>
      <c r="Z735" s="102"/>
      <c r="AA735" s="102"/>
      <c r="AB735" s="102"/>
      <c r="AC735" s="102"/>
      <c r="AD735" s="102"/>
      <c r="AE735" s="102"/>
      <c r="AF735" s="102"/>
      <c r="AG735" s="102"/>
      <c r="AH735" s="102"/>
      <c r="AI735" s="102"/>
      <c r="AJ735" s="102"/>
      <c r="AK735" s="102"/>
      <c r="AL735" s="102"/>
      <c r="AM735" s="102"/>
      <c r="AN735" s="102"/>
      <c r="AO735" s="102"/>
      <c r="AP735" s="102"/>
      <c r="AQ735" s="102"/>
      <c r="AR735" s="102"/>
      <c r="AS735" s="102"/>
      <c r="AT735" s="102"/>
      <c r="AU735" s="102"/>
    </row>
    <row r="736" spans="1:47" s="78" customFormat="1" ht="12.6" customHeight="1" x14ac:dyDescent="0.3">
      <c r="A736" s="102"/>
      <c r="V736" s="102"/>
      <c r="W736" s="102"/>
      <c r="X736" s="102"/>
      <c r="Y736" s="102"/>
      <c r="Z736" s="102"/>
      <c r="AA736" s="102"/>
      <c r="AB736" s="102"/>
      <c r="AC736" s="102"/>
      <c r="AD736" s="102"/>
      <c r="AE736" s="102"/>
      <c r="AF736" s="102"/>
      <c r="AG736" s="102"/>
      <c r="AH736" s="102"/>
      <c r="AI736" s="102"/>
      <c r="AJ736" s="102"/>
      <c r="AK736" s="102"/>
      <c r="AL736" s="102"/>
      <c r="AM736" s="102"/>
      <c r="AN736" s="102"/>
      <c r="AO736" s="102"/>
      <c r="AP736" s="102"/>
      <c r="AQ736" s="102"/>
      <c r="AR736" s="102"/>
      <c r="AS736" s="102"/>
      <c r="AT736" s="102"/>
      <c r="AU736" s="102"/>
    </row>
    <row r="737" spans="1:47" s="78" customFormat="1" ht="12.6" customHeight="1" x14ac:dyDescent="0.3">
      <c r="A737" s="102"/>
      <c r="V737" s="102"/>
      <c r="W737" s="102"/>
      <c r="X737" s="102"/>
      <c r="Y737" s="102"/>
      <c r="Z737" s="102"/>
      <c r="AA737" s="102"/>
      <c r="AB737" s="102"/>
      <c r="AC737" s="102"/>
      <c r="AD737" s="102"/>
      <c r="AE737" s="102"/>
      <c r="AF737" s="102"/>
      <c r="AG737" s="102"/>
      <c r="AH737" s="102"/>
      <c r="AI737" s="102"/>
      <c r="AJ737" s="102"/>
      <c r="AK737" s="102"/>
      <c r="AL737" s="102"/>
      <c r="AM737" s="102"/>
      <c r="AN737" s="102"/>
      <c r="AO737" s="102"/>
      <c r="AP737" s="102"/>
      <c r="AQ737" s="102"/>
      <c r="AR737" s="102"/>
      <c r="AS737" s="102"/>
      <c r="AT737" s="102"/>
      <c r="AU737" s="102"/>
    </row>
    <row r="738" spans="1:47" s="78" customFormat="1" ht="12.6" customHeight="1" x14ac:dyDescent="0.3">
      <c r="A738" s="102"/>
      <c r="V738" s="102"/>
      <c r="W738" s="102"/>
      <c r="X738" s="102"/>
      <c r="Y738" s="102"/>
      <c r="Z738" s="102"/>
      <c r="AA738" s="102"/>
      <c r="AB738" s="102"/>
      <c r="AC738" s="102"/>
      <c r="AD738" s="102"/>
      <c r="AE738" s="102"/>
      <c r="AF738" s="102"/>
      <c r="AG738" s="102"/>
      <c r="AH738" s="102"/>
      <c r="AI738" s="102"/>
      <c r="AJ738" s="102"/>
      <c r="AK738" s="102"/>
      <c r="AL738" s="102"/>
      <c r="AM738" s="102"/>
      <c r="AN738" s="102"/>
      <c r="AO738" s="102"/>
      <c r="AP738" s="102"/>
      <c r="AQ738" s="102"/>
      <c r="AR738" s="102"/>
      <c r="AS738" s="102"/>
      <c r="AT738" s="102"/>
      <c r="AU738" s="102"/>
    </row>
    <row r="739" spans="1:47" s="78" customFormat="1" ht="12.6" customHeight="1" x14ac:dyDescent="0.3">
      <c r="A739" s="102"/>
      <c r="V739" s="102"/>
      <c r="W739" s="102"/>
      <c r="X739" s="102"/>
      <c r="Y739" s="102"/>
      <c r="Z739" s="102"/>
      <c r="AA739" s="102"/>
      <c r="AB739" s="102"/>
      <c r="AC739" s="102"/>
      <c r="AD739" s="102"/>
      <c r="AE739" s="102"/>
      <c r="AF739" s="102"/>
      <c r="AG739" s="102"/>
      <c r="AH739" s="102"/>
      <c r="AI739" s="102"/>
      <c r="AJ739" s="102"/>
      <c r="AK739" s="102"/>
      <c r="AL739" s="102"/>
      <c r="AM739" s="102"/>
      <c r="AN739" s="102"/>
      <c r="AO739" s="102"/>
      <c r="AP739" s="102"/>
      <c r="AQ739" s="102"/>
      <c r="AR739" s="102"/>
      <c r="AS739" s="102"/>
      <c r="AT739" s="102"/>
      <c r="AU739" s="102"/>
    </row>
    <row r="740" spans="1:47" s="78" customFormat="1" ht="12.6" customHeight="1" x14ac:dyDescent="0.3">
      <c r="A740" s="102"/>
      <c r="V740" s="102"/>
      <c r="W740" s="102"/>
      <c r="X740" s="102"/>
      <c r="Y740" s="102"/>
      <c r="Z740" s="102"/>
      <c r="AA740" s="102"/>
      <c r="AB740" s="102"/>
      <c r="AC740" s="102"/>
      <c r="AD740" s="102"/>
      <c r="AE740" s="102"/>
      <c r="AF740" s="102"/>
      <c r="AG740" s="102"/>
      <c r="AH740" s="102"/>
      <c r="AI740" s="102"/>
      <c r="AJ740" s="102"/>
      <c r="AK740" s="102"/>
      <c r="AL740" s="102"/>
      <c r="AM740" s="102"/>
      <c r="AN740" s="102"/>
      <c r="AO740" s="102"/>
      <c r="AP740" s="102"/>
      <c r="AQ740" s="102"/>
      <c r="AR740" s="102"/>
      <c r="AS740" s="102"/>
      <c r="AT740" s="102"/>
      <c r="AU740" s="102"/>
    </row>
    <row r="741" spans="1:47" s="78" customFormat="1" ht="12.6" customHeight="1" x14ac:dyDescent="0.3">
      <c r="A741" s="102"/>
      <c r="V741" s="102"/>
      <c r="W741" s="102"/>
      <c r="X741" s="102"/>
      <c r="Y741" s="102"/>
      <c r="Z741" s="102"/>
      <c r="AA741" s="102"/>
      <c r="AB741" s="102"/>
      <c r="AC741" s="102"/>
      <c r="AD741" s="102"/>
      <c r="AE741" s="102"/>
      <c r="AF741" s="102"/>
      <c r="AG741" s="102"/>
      <c r="AH741" s="102"/>
      <c r="AI741" s="102"/>
      <c r="AJ741" s="102"/>
      <c r="AK741" s="102"/>
      <c r="AL741" s="102"/>
      <c r="AM741" s="102"/>
      <c r="AN741" s="102"/>
      <c r="AO741" s="102"/>
      <c r="AP741" s="102"/>
      <c r="AQ741" s="102"/>
      <c r="AR741" s="102"/>
      <c r="AS741" s="102"/>
      <c r="AT741" s="102"/>
      <c r="AU741" s="102"/>
    </row>
    <row r="742" spans="1:47" s="78" customFormat="1" ht="12.6" customHeight="1" x14ac:dyDescent="0.3">
      <c r="A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row>
    <row r="743" spans="1:47" s="78" customFormat="1" ht="12.6" customHeight="1" x14ac:dyDescent="0.3">
      <c r="A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row>
    <row r="744" spans="1:47" s="78" customFormat="1" ht="12.6" customHeight="1" x14ac:dyDescent="0.3">
      <c r="A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row>
    <row r="745" spans="1:47" s="78" customFormat="1" ht="12.6" customHeight="1" x14ac:dyDescent="0.3">
      <c r="A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row>
    <row r="746" spans="1:47" s="78" customFormat="1" ht="12.6" customHeight="1" x14ac:dyDescent="0.3">
      <c r="A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row>
    <row r="747" spans="1:47" s="78" customFormat="1" ht="12.6" customHeight="1" x14ac:dyDescent="0.3">
      <c r="A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row>
    <row r="748" spans="1:47" s="78" customFormat="1" ht="12.6" customHeight="1" x14ac:dyDescent="0.3">
      <c r="A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row>
    <row r="749" spans="1:47" s="78" customFormat="1" ht="12.6" customHeight="1" x14ac:dyDescent="0.3">
      <c r="A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row>
    <row r="750" spans="1:47" s="78" customFormat="1" ht="12.6" customHeight="1" x14ac:dyDescent="0.3">
      <c r="A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102"/>
      <c r="AU750" s="102"/>
    </row>
    <row r="751" spans="1:47" s="78" customFormat="1" ht="12.6" customHeight="1" x14ac:dyDescent="0.3">
      <c r="A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row>
    <row r="752" spans="1:47" s="78" customFormat="1" ht="12.6" customHeight="1" x14ac:dyDescent="0.3">
      <c r="A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102"/>
      <c r="AU752" s="102"/>
    </row>
    <row r="753" spans="1:47" s="78" customFormat="1" ht="12.6" customHeight="1" x14ac:dyDescent="0.3">
      <c r="A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102"/>
      <c r="AU753" s="102"/>
    </row>
    <row r="754" spans="1:47" s="78" customFormat="1" ht="12.6" customHeight="1" x14ac:dyDescent="0.3">
      <c r="A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102"/>
      <c r="AU754" s="102"/>
    </row>
    <row r="755" spans="1:47" s="78" customFormat="1" ht="12.6" customHeight="1" x14ac:dyDescent="0.3">
      <c r="A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102"/>
      <c r="AU755" s="102"/>
    </row>
    <row r="756" spans="1:47" s="78" customFormat="1" ht="12.6" customHeight="1" x14ac:dyDescent="0.3">
      <c r="A756" s="102"/>
      <c r="V756" s="102"/>
      <c r="W756" s="102"/>
      <c r="X756" s="102"/>
      <c r="Y756" s="102"/>
      <c r="Z756" s="102"/>
      <c r="AA756" s="102"/>
      <c r="AB756" s="102"/>
      <c r="AC756" s="102"/>
      <c r="AD756" s="102"/>
      <c r="AE756" s="102"/>
      <c r="AF756" s="102"/>
      <c r="AG756" s="102"/>
      <c r="AH756" s="102"/>
      <c r="AI756" s="102"/>
      <c r="AJ756" s="102"/>
      <c r="AK756" s="102"/>
      <c r="AL756" s="102"/>
      <c r="AM756" s="102"/>
      <c r="AN756" s="102"/>
      <c r="AO756" s="102"/>
      <c r="AP756" s="102"/>
      <c r="AQ756" s="102"/>
      <c r="AR756" s="102"/>
      <c r="AS756" s="102"/>
      <c r="AT756" s="102"/>
      <c r="AU756" s="102"/>
    </row>
    <row r="757" spans="1:47" s="78" customFormat="1" ht="12.6" customHeight="1" x14ac:dyDescent="0.3">
      <c r="A757" s="102"/>
      <c r="V757" s="102"/>
      <c r="W757" s="102"/>
      <c r="X757" s="102"/>
      <c r="Y757" s="102"/>
      <c r="Z757" s="102"/>
      <c r="AA757" s="102"/>
      <c r="AB757" s="102"/>
      <c r="AC757" s="102"/>
      <c r="AD757" s="102"/>
      <c r="AE757" s="102"/>
      <c r="AF757" s="102"/>
      <c r="AG757" s="102"/>
      <c r="AH757" s="102"/>
      <c r="AI757" s="102"/>
      <c r="AJ757" s="102"/>
      <c r="AK757" s="102"/>
      <c r="AL757" s="102"/>
      <c r="AM757" s="102"/>
      <c r="AN757" s="102"/>
      <c r="AO757" s="102"/>
      <c r="AP757" s="102"/>
      <c r="AQ757" s="102"/>
      <c r="AR757" s="102"/>
      <c r="AS757" s="102"/>
      <c r="AT757" s="102"/>
      <c r="AU757" s="102"/>
    </row>
    <row r="758" spans="1:47" s="78" customFormat="1" ht="12.6" customHeight="1" x14ac:dyDescent="0.3">
      <c r="A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102"/>
      <c r="AU758" s="102"/>
    </row>
    <row r="759" spans="1:47" s="78" customFormat="1" ht="12.6" customHeight="1" x14ac:dyDescent="0.3">
      <c r="A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102"/>
      <c r="AU759" s="102"/>
    </row>
    <row r="760" spans="1:47" s="78" customFormat="1" ht="12.6" customHeight="1" x14ac:dyDescent="0.3">
      <c r="A760" s="102"/>
      <c r="V760" s="102"/>
      <c r="W760" s="102"/>
      <c r="X760" s="102"/>
      <c r="Y760" s="102"/>
      <c r="Z760" s="102"/>
      <c r="AA760" s="102"/>
      <c r="AB760" s="102"/>
      <c r="AC760" s="102"/>
      <c r="AD760" s="102"/>
      <c r="AE760" s="102"/>
      <c r="AF760" s="102"/>
      <c r="AG760" s="102"/>
      <c r="AH760" s="102"/>
      <c r="AI760" s="102"/>
      <c r="AJ760" s="102"/>
      <c r="AK760" s="102"/>
      <c r="AL760" s="102"/>
      <c r="AM760" s="102"/>
      <c r="AN760" s="102"/>
      <c r="AO760" s="102"/>
      <c r="AP760" s="102"/>
      <c r="AQ760" s="102"/>
      <c r="AR760" s="102"/>
      <c r="AS760" s="102"/>
      <c r="AT760" s="102"/>
      <c r="AU760" s="102"/>
    </row>
    <row r="761" spans="1:47" s="78" customFormat="1" ht="12.6" customHeight="1" x14ac:dyDescent="0.3">
      <c r="A761" s="102"/>
      <c r="V761" s="102"/>
      <c r="W761" s="102"/>
      <c r="X761" s="102"/>
      <c r="Y761" s="102"/>
      <c r="Z761" s="102"/>
      <c r="AA761" s="102"/>
      <c r="AB761" s="102"/>
      <c r="AC761" s="102"/>
      <c r="AD761" s="102"/>
      <c r="AE761" s="102"/>
      <c r="AF761" s="102"/>
      <c r="AG761" s="102"/>
      <c r="AH761" s="102"/>
      <c r="AI761" s="102"/>
      <c r="AJ761" s="102"/>
      <c r="AK761" s="102"/>
      <c r="AL761" s="102"/>
      <c r="AM761" s="102"/>
      <c r="AN761" s="102"/>
      <c r="AO761" s="102"/>
      <c r="AP761" s="102"/>
      <c r="AQ761" s="102"/>
      <c r="AR761" s="102"/>
      <c r="AS761" s="102"/>
      <c r="AT761" s="102"/>
      <c r="AU761" s="102"/>
    </row>
    <row r="762" spans="1:47" s="78" customFormat="1" ht="12.6" customHeight="1" x14ac:dyDescent="0.3">
      <c r="A762" s="102"/>
      <c r="V762" s="102"/>
      <c r="W762" s="102"/>
      <c r="X762" s="102"/>
      <c r="Y762" s="102"/>
      <c r="Z762" s="102"/>
      <c r="AA762" s="102"/>
      <c r="AB762" s="102"/>
      <c r="AC762" s="102"/>
      <c r="AD762" s="102"/>
      <c r="AE762" s="102"/>
      <c r="AF762" s="102"/>
      <c r="AG762" s="102"/>
      <c r="AH762" s="102"/>
      <c r="AI762" s="102"/>
      <c r="AJ762" s="102"/>
      <c r="AK762" s="102"/>
      <c r="AL762" s="102"/>
      <c r="AM762" s="102"/>
      <c r="AN762" s="102"/>
      <c r="AO762" s="102"/>
      <c r="AP762" s="102"/>
      <c r="AQ762" s="102"/>
      <c r="AR762" s="102"/>
      <c r="AS762" s="102"/>
      <c r="AT762" s="102"/>
      <c r="AU762" s="102"/>
    </row>
    <row r="763" spans="1:47" s="78" customFormat="1" ht="12.6" customHeight="1" x14ac:dyDescent="0.3">
      <c r="A763" s="102"/>
      <c r="V763" s="102"/>
      <c r="W763" s="102"/>
      <c r="X763" s="102"/>
      <c r="Y763" s="102"/>
      <c r="Z763" s="102"/>
      <c r="AA763" s="102"/>
      <c r="AB763" s="102"/>
      <c r="AC763" s="102"/>
      <c r="AD763" s="102"/>
      <c r="AE763" s="102"/>
      <c r="AF763" s="102"/>
      <c r="AG763" s="102"/>
      <c r="AH763" s="102"/>
      <c r="AI763" s="102"/>
      <c r="AJ763" s="102"/>
      <c r="AK763" s="102"/>
      <c r="AL763" s="102"/>
      <c r="AM763" s="102"/>
      <c r="AN763" s="102"/>
      <c r="AO763" s="102"/>
      <c r="AP763" s="102"/>
      <c r="AQ763" s="102"/>
      <c r="AR763" s="102"/>
      <c r="AS763" s="102"/>
      <c r="AT763" s="102"/>
      <c r="AU763" s="102"/>
    </row>
    <row r="764" spans="1:47" s="78" customFormat="1" ht="12.6" customHeight="1" x14ac:dyDescent="0.3">
      <c r="A764" s="102"/>
      <c r="V764" s="102"/>
      <c r="W764" s="102"/>
      <c r="X764" s="102"/>
      <c r="Y764" s="102"/>
      <c r="Z764" s="102"/>
      <c r="AA764" s="102"/>
      <c r="AB764" s="102"/>
      <c r="AC764" s="102"/>
      <c r="AD764" s="102"/>
      <c r="AE764" s="102"/>
      <c r="AF764" s="102"/>
      <c r="AG764" s="102"/>
      <c r="AH764" s="102"/>
      <c r="AI764" s="102"/>
      <c r="AJ764" s="102"/>
      <c r="AK764" s="102"/>
      <c r="AL764" s="102"/>
      <c r="AM764" s="102"/>
      <c r="AN764" s="102"/>
      <c r="AO764" s="102"/>
      <c r="AP764" s="102"/>
      <c r="AQ764" s="102"/>
      <c r="AR764" s="102"/>
      <c r="AS764" s="102"/>
      <c r="AT764" s="102"/>
      <c r="AU764" s="102"/>
    </row>
    <row r="765" spans="1:47" s="78" customFormat="1" ht="12.6" customHeight="1" x14ac:dyDescent="0.3">
      <c r="A765" s="102"/>
      <c r="V765" s="102"/>
      <c r="W765" s="102"/>
      <c r="X765" s="102"/>
      <c r="Y765" s="102"/>
      <c r="Z765" s="102"/>
      <c r="AA765" s="102"/>
      <c r="AB765" s="102"/>
      <c r="AC765" s="102"/>
      <c r="AD765" s="102"/>
      <c r="AE765" s="102"/>
      <c r="AF765" s="102"/>
      <c r="AG765" s="102"/>
      <c r="AH765" s="102"/>
      <c r="AI765" s="102"/>
      <c r="AJ765" s="102"/>
      <c r="AK765" s="102"/>
      <c r="AL765" s="102"/>
      <c r="AM765" s="102"/>
      <c r="AN765" s="102"/>
      <c r="AO765" s="102"/>
      <c r="AP765" s="102"/>
      <c r="AQ765" s="102"/>
      <c r="AR765" s="102"/>
      <c r="AS765" s="102"/>
      <c r="AT765" s="102"/>
      <c r="AU765" s="102"/>
    </row>
    <row r="766" spans="1:47" s="78" customFormat="1" ht="12.6" customHeight="1" x14ac:dyDescent="0.3">
      <c r="A766" s="102"/>
      <c r="V766" s="102"/>
      <c r="W766" s="102"/>
      <c r="X766" s="102"/>
      <c r="Y766" s="102"/>
      <c r="Z766" s="102"/>
      <c r="AA766" s="102"/>
      <c r="AB766" s="102"/>
      <c r="AC766" s="102"/>
      <c r="AD766" s="102"/>
      <c r="AE766" s="102"/>
      <c r="AF766" s="102"/>
      <c r="AG766" s="102"/>
      <c r="AH766" s="102"/>
      <c r="AI766" s="102"/>
      <c r="AJ766" s="102"/>
      <c r="AK766" s="102"/>
      <c r="AL766" s="102"/>
      <c r="AM766" s="102"/>
      <c r="AN766" s="102"/>
      <c r="AO766" s="102"/>
      <c r="AP766" s="102"/>
      <c r="AQ766" s="102"/>
      <c r="AR766" s="102"/>
      <c r="AS766" s="102"/>
      <c r="AT766" s="102"/>
      <c r="AU766" s="102"/>
    </row>
    <row r="767" spans="1:47" s="78" customFormat="1" ht="12.6" customHeight="1" x14ac:dyDescent="0.3">
      <c r="A767" s="102"/>
      <c r="V767" s="102"/>
      <c r="W767" s="102"/>
      <c r="X767" s="102"/>
      <c r="Y767" s="102"/>
      <c r="Z767" s="102"/>
      <c r="AA767" s="102"/>
      <c r="AB767" s="102"/>
      <c r="AC767" s="102"/>
      <c r="AD767" s="102"/>
      <c r="AE767" s="102"/>
      <c r="AF767" s="102"/>
      <c r="AG767" s="102"/>
      <c r="AH767" s="102"/>
      <c r="AI767" s="102"/>
      <c r="AJ767" s="102"/>
      <c r="AK767" s="102"/>
      <c r="AL767" s="102"/>
      <c r="AM767" s="102"/>
      <c r="AN767" s="102"/>
      <c r="AO767" s="102"/>
      <c r="AP767" s="102"/>
      <c r="AQ767" s="102"/>
      <c r="AR767" s="102"/>
      <c r="AS767" s="102"/>
      <c r="AT767" s="102"/>
      <c r="AU767" s="102"/>
    </row>
    <row r="768" spans="1:47" s="78" customFormat="1" ht="12.6" customHeight="1" x14ac:dyDescent="0.3">
      <c r="A768" s="102"/>
      <c r="V768" s="102"/>
      <c r="W768" s="102"/>
      <c r="X768" s="102"/>
      <c r="Y768" s="102"/>
      <c r="Z768" s="102"/>
      <c r="AA768" s="102"/>
      <c r="AB768" s="102"/>
      <c r="AC768" s="102"/>
      <c r="AD768" s="102"/>
      <c r="AE768" s="102"/>
      <c r="AF768" s="102"/>
      <c r="AG768" s="102"/>
      <c r="AH768" s="102"/>
      <c r="AI768" s="102"/>
      <c r="AJ768" s="102"/>
      <c r="AK768" s="102"/>
      <c r="AL768" s="102"/>
      <c r="AM768" s="102"/>
      <c r="AN768" s="102"/>
      <c r="AO768" s="102"/>
      <c r="AP768" s="102"/>
      <c r="AQ768" s="102"/>
      <c r="AR768" s="102"/>
      <c r="AS768" s="102"/>
      <c r="AT768" s="102"/>
      <c r="AU768" s="102"/>
    </row>
    <row r="769" spans="1:47" s="78" customFormat="1" ht="12.6" customHeight="1" x14ac:dyDescent="0.3">
      <c r="A769" s="102"/>
      <c r="V769" s="102"/>
      <c r="W769" s="102"/>
      <c r="X769" s="102"/>
      <c r="Y769" s="102"/>
      <c r="Z769" s="102"/>
      <c r="AA769" s="102"/>
      <c r="AB769" s="102"/>
      <c r="AC769" s="102"/>
      <c r="AD769" s="102"/>
      <c r="AE769" s="102"/>
      <c r="AF769" s="102"/>
      <c r="AG769" s="102"/>
      <c r="AH769" s="102"/>
      <c r="AI769" s="102"/>
      <c r="AJ769" s="102"/>
      <c r="AK769" s="102"/>
      <c r="AL769" s="102"/>
      <c r="AM769" s="102"/>
      <c r="AN769" s="102"/>
      <c r="AO769" s="102"/>
      <c r="AP769" s="102"/>
      <c r="AQ769" s="102"/>
      <c r="AR769" s="102"/>
      <c r="AS769" s="102"/>
      <c r="AT769" s="102"/>
      <c r="AU769" s="102"/>
    </row>
    <row r="770" spans="1:47" s="78" customFormat="1" ht="12.6" customHeight="1" x14ac:dyDescent="0.3">
      <c r="A770" s="102"/>
      <c r="V770" s="102"/>
      <c r="W770" s="102"/>
      <c r="X770" s="102"/>
      <c r="Y770" s="102"/>
      <c r="Z770" s="102"/>
      <c r="AA770" s="102"/>
      <c r="AB770" s="102"/>
      <c r="AC770" s="102"/>
      <c r="AD770" s="102"/>
      <c r="AE770" s="102"/>
      <c r="AF770" s="102"/>
      <c r="AG770" s="102"/>
      <c r="AH770" s="102"/>
      <c r="AI770" s="102"/>
      <c r="AJ770" s="102"/>
      <c r="AK770" s="102"/>
      <c r="AL770" s="102"/>
      <c r="AM770" s="102"/>
      <c r="AN770" s="102"/>
      <c r="AO770" s="102"/>
      <c r="AP770" s="102"/>
      <c r="AQ770" s="102"/>
      <c r="AR770" s="102"/>
      <c r="AS770" s="102"/>
      <c r="AT770" s="102"/>
      <c r="AU770" s="102"/>
    </row>
    <row r="771" spans="1:47" s="78" customFormat="1" ht="12.6" customHeight="1" x14ac:dyDescent="0.3">
      <c r="A771" s="102"/>
      <c r="V771" s="102"/>
      <c r="W771" s="102"/>
      <c r="X771" s="102"/>
      <c r="Y771" s="102"/>
      <c r="Z771" s="102"/>
      <c r="AA771" s="102"/>
      <c r="AB771" s="102"/>
      <c r="AC771" s="102"/>
      <c r="AD771" s="102"/>
      <c r="AE771" s="102"/>
      <c r="AF771" s="102"/>
      <c r="AG771" s="102"/>
      <c r="AH771" s="102"/>
      <c r="AI771" s="102"/>
      <c r="AJ771" s="102"/>
      <c r="AK771" s="102"/>
      <c r="AL771" s="102"/>
      <c r="AM771" s="102"/>
      <c r="AN771" s="102"/>
      <c r="AO771" s="102"/>
      <c r="AP771" s="102"/>
      <c r="AQ771" s="102"/>
      <c r="AR771" s="102"/>
      <c r="AS771" s="102"/>
      <c r="AT771" s="102"/>
      <c r="AU771" s="102"/>
    </row>
    <row r="772" spans="1:47" s="78" customFormat="1" ht="12.6" customHeight="1" x14ac:dyDescent="0.3">
      <c r="A772" s="102"/>
      <c r="V772" s="102"/>
      <c r="W772" s="102"/>
      <c r="X772" s="102"/>
      <c r="Y772" s="102"/>
      <c r="Z772" s="102"/>
      <c r="AA772" s="102"/>
      <c r="AB772" s="102"/>
      <c r="AC772" s="102"/>
      <c r="AD772" s="102"/>
      <c r="AE772" s="102"/>
      <c r="AF772" s="102"/>
      <c r="AG772" s="102"/>
      <c r="AH772" s="102"/>
      <c r="AI772" s="102"/>
      <c r="AJ772" s="102"/>
      <c r="AK772" s="102"/>
      <c r="AL772" s="102"/>
      <c r="AM772" s="102"/>
      <c r="AN772" s="102"/>
      <c r="AO772" s="102"/>
      <c r="AP772" s="102"/>
      <c r="AQ772" s="102"/>
      <c r="AR772" s="102"/>
      <c r="AS772" s="102"/>
      <c r="AT772" s="102"/>
      <c r="AU772" s="102"/>
    </row>
    <row r="773" spans="1:47" s="78" customFormat="1" ht="12.6" customHeight="1" x14ac:dyDescent="0.3">
      <c r="A773" s="102"/>
      <c r="V773" s="102"/>
      <c r="W773" s="102"/>
      <c r="X773" s="102"/>
      <c r="Y773" s="102"/>
      <c r="Z773" s="102"/>
      <c r="AA773" s="102"/>
      <c r="AB773" s="102"/>
      <c r="AC773" s="102"/>
      <c r="AD773" s="102"/>
      <c r="AE773" s="102"/>
      <c r="AF773" s="102"/>
      <c r="AG773" s="102"/>
      <c r="AH773" s="102"/>
      <c r="AI773" s="102"/>
      <c r="AJ773" s="102"/>
      <c r="AK773" s="102"/>
      <c r="AL773" s="102"/>
      <c r="AM773" s="102"/>
      <c r="AN773" s="102"/>
      <c r="AO773" s="102"/>
      <c r="AP773" s="102"/>
      <c r="AQ773" s="102"/>
      <c r="AR773" s="102"/>
      <c r="AS773" s="102"/>
      <c r="AT773" s="102"/>
      <c r="AU773" s="102"/>
    </row>
    <row r="774" spans="1:47" s="78" customFormat="1" ht="12.6" customHeight="1" x14ac:dyDescent="0.3">
      <c r="A774" s="102"/>
      <c r="V774" s="102"/>
      <c r="W774" s="102"/>
      <c r="X774" s="102"/>
      <c r="Y774" s="102"/>
      <c r="Z774" s="102"/>
      <c r="AA774" s="102"/>
      <c r="AB774" s="102"/>
      <c r="AC774" s="102"/>
      <c r="AD774" s="102"/>
      <c r="AE774" s="102"/>
      <c r="AF774" s="102"/>
      <c r="AG774" s="102"/>
      <c r="AH774" s="102"/>
      <c r="AI774" s="102"/>
      <c r="AJ774" s="102"/>
      <c r="AK774" s="102"/>
      <c r="AL774" s="102"/>
      <c r="AM774" s="102"/>
      <c r="AN774" s="102"/>
      <c r="AO774" s="102"/>
      <c r="AP774" s="102"/>
      <c r="AQ774" s="102"/>
      <c r="AR774" s="102"/>
      <c r="AS774" s="102"/>
      <c r="AT774" s="102"/>
      <c r="AU774" s="102"/>
    </row>
    <row r="775" spans="1:47" s="78" customFormat="1" ht="12.6" customHeight="1" x14ac:dyDescent="0.3">
      <c r="A775" s="102"/>
      <c r="V775" s="102"/>
      <c r="W775" s="102"/>
      <c r="X775" s="102"/>
      <c r="Y775" s="102"/>
      <c r="Z775" s="102"/>
      <c r="AA775" s="102"/>
      <c r="AB775" s="102"/>
      <c r="AC775" s="102"/>
      <c r="AD775" s="102"/>
      <c r="AE775" s="102"/>
      <c r="AF775" s="102"/>
      <c r="AG775" s="102"/>
      <c r="AH775" s="102"/>
      <c r="AI775" s="102"/>
      <c r="AJ775" s="102"/>
      <c r="AK775" s="102"/>
      <c r="AL775" s="102"/>
      <c r="AM775" s="102"/>
      <c r="AN775" s="102"/>
      <c r="AO775" s="102"/>
      <c r="AP775" s="102"/>
      <c r="AQ775" s="102"/>
      <c r="AR775" s="102"/>
      <c r="AS775" s="102"/>
      <c r="AT775" s="102"/>
      <c r="AU775" s="102"/>
    </row>
    <row r="776" spans="1:47" s="78" customFormat="1" ht="12.6" customHeight="1" x14ac:dyDescent="0.3">
      <c r="A776" s="102"/>
      <c r="V776" s="102"/>
      <c r="W776" s="102"/>
      <c r="X776" s="102"/>
      <c r="Y776" s="102"/>
      <c r="Z776" s="102"/>
      <c r="AA776" s="102"/>
      <c r="AB776" s="102"/>
      <c r="AC776" s="102"/>
      <c r="AD776" s="102"/>
      <c r="AE776" s="102"/>
      <c r="AF776" s="102"/>
      <c r="AG776" s="102"/>
      <c r="AH776" s="102"/>
      <c r="AI776" s="102"/>
      <c r="AJ776" s="102"/>
      <c r="AK776" s="102"/>
      <c r="AL776" s="102"/>
      <c r="AM776" s="102"/>
      <c r="AN776" s="102"/>
      <c r="AO776" s="102"/>
      <c r="AP776" s="102"/>
      <c r="AQ776" s="102"/>
      <c r="AR776" s="102"/>
      <c r="AS776" s="102"/>
      <c r="AT776" s="102"/>
      <c r="AU776" s="102"/>
    </row>
    <row r="777" spans="1:47" s="78" customFormat="1" ht="12.6" customHeight="1" x14ac:dyDescent="0.3">
      <c r="A777" s="102"/>
      <c r="V777" s="102"/>
      <c r="W777" s="102"/>
      <c r="X777" s="102"/>
      <c r="Y777" s="102"/>
      <c r="Z777" s="102"/>
      <c r="AA777" s="102"/>
      <c r="AB777" s="102"/>
      <c r="AC777" s="102"/>
      <c r="AD777" s="102"/>
      <c r="AE777" s="102"/>
      <c r="AF777" s="102"/>
      <c r="AG777" s="102"/>
      <c r="AH777" s="102"/>
      <c r="AI777" s="102"/>
      <c r="AJ777" s="102"/>
      <c r="AK777" s="102"/>
      <c r="AL777" s="102"/>
      <c r="AM777" s="102"/>
      <c r="AN777" s="102"/>
      <c r="AO777" s="102"/>
      <c r="AP777" s="102"/>
      <c r="AQ777" s="102"/>
      <c r="AR777" s="102"/>
      <c r="AS777" s="102"/>
      <c r="AT777" s="102"/>
      <c r="AU777" s="102"/>
    </row>
    <row r="778" spans="1:47" s="78" customFormat="1" ht="12.6" customHeight="1" x14ac:dyDescent="0.3">
      <c r="A778" s="102"/>
      <c r="V778" s="102"/>
      <c r="W778" s="102"/>
      <c r="X778" s="102"/>
      <c r="Y778" s="102"/>
      <c r="Z778" s="102"/>
      <c r="AA778" s="102"/>
      <c r="AB778" s="102"/>
      <c r="AC778" s="102"/>
      <c r="AD778" s="102"/>
      <c r="AE778" s="102"/>
      <c r="AF778" s="102"/>
      <c r="AG778" s="102"/>
      <c r="AH778" s="102"/>
      <c r="AI778" s="102"/>
      <c r="AJ778" s="102"/>
      <c r="AK778" s="102"/>
      <c r="AL778" s="102"/>
      <c r="AM778" s="102"/>
      <c r="AN778" s="102"/>
      <c r="AO778" s="102"/>
      <c r="AP778" s="102"/>
      <c r="AQ778" s="102"/>
      <c r="AR778" s="102"/>
      <c r="AS778" s="102"/>
      <c r="AT778" s="102"/>
      <c r="AU778" s="102"/>
    </row>
    <row r="779" spans="1:47" s="78" customFormat="1" ht="12.6" customHeight="1" x14ac:dyDescent="0.3">
      <c r="A779" s="102"/>
      <c r="V779" s="102"/>
      <c r="W779" s="102"/>
      <c r="X779" s="102"/>
      <c r="Y779" s="102"/>
      <c r="Z779" s="102"/>
      <c r="AA779" s="102"/>
      <c r="AB779" s="102"/>
      <c r="AC779" s="102"/>
      <c r="AD779" s="102"/>
      <c r="AE779" s="102"/>
      <c r="AF779" s="102"/>
      <c r="AG779" s="102"/>
      <c r="AH779" s="102"/>
      <c r="AI779" s="102"/>
      <c r="AJ779" s="102"/>
      <c r="AK779" s="102"/>
      <c r="AL779" s="102"/>
      <c r="AM779" s="102"/>
      <c r="AN779" s="102"/>
      <c r="AO779" s="102"/>
      <c r="AP779" s="102"/>
      <c r="AQ779" s="102"/>
      <c r="AR779" s="102"/>
      <c r="AS779" s="102"/>
      <c r="AT779" s="102"/>
      <c r="AU779" s="102"/>
    </row>
    <row r="780" spans="1:47" s="78" customFormat="1" ht="12.6" customHeight="1" x14ac:dyDescent="0.3">
      <c r="A780" s="102"/>
      <c r="V780" s="102"/>
      <c r="W780" s="102"/>
      <c r="X780" s="102"/>
      <c r="Y780" s="102"/>
      <c r="Z780" s="102"/>
      <c r="AA780" s="102"/>
      <c r="AB780" s="102"/>
      <c r="AC780" s="102"/>
      <c r="AD780" s="102"/>
      <c r="AE780" s="102"/>
      <c r="AF780" s="102"/>
      <c r="AG780" s="102"/>
      <c r="AH780" s="102"/>
      <c r="AI780" s="102"/>
      <c r="AJ780" s="102"/>
      <c r="AK780" s="102"/>
      <c r="AL780" s="102"/>
      <c r="AM780" s="102"/>
      <c r="AN780" s="102"/>
      <c r="AO780" s="102"/>
      <c r="AP780" s="102"/>
      <c r="AQ780" s="102"/>
      <c r="AR780" s="102"/>
      <c r="AS780" s="102"/>
      <c r="AT780" s="102"/>
      <c r="AU780" s="102"/>
    </row>
    <row r="781" spans="1:47" s="78" customFormat="1" ht="12.6" customHeight="1" x14ac:dyDescent="0.3">
      <c r="A781" s="102"/>
      <c r="V781" s="102"/>
      <c r="W781" s="102"/>
      <c r="X781" s="102"/>
      <c r="Y781" s="102"/>
      <c r="Z781" s="102"/>
      <c r="AA781" s="102"/>
      <c r="AB781" s="102"/>
      <c r="AC781" s="102"/>
      <c r="AD781" s="102"/>
      <c r="AE781" s="102"/>
      <c r="AF781" s="102"/>
      <c r="AG781" s="102"/>
      <c r="AH781" s="102"/>
      <c r="AI781" s="102"/>
      <c r="AJ781" s="102"/>
      <c r="AK781" s="102"/>
      <c r="AL781" s="102"/>
      <c r="AM781" s="102"/>
      <c r="AN781" s="102"/>
      <c r="AO781" s="102"/>
      <c r="AP781" s="102"/>
      <c r="AQ781" s="102"/>
      <c r="AR781" s="102"/>
      <c r="AS781" s="102"/>
      <c r="AT781" s="102"/>
      <c r="AU781" s="102"/>
    </row>
    <row r="782" spans="1:47" s="78" customFormat="1" ht="12.6" customHeight="1" x14ac:dyDescent="0.3">
      <c r="A782" s="102"/>
      <c r="V782" s="102"/>
      <c r="W782" s="102"/>
      <c r="X782" s="102"/>
      <c r="Y782" s="102"/>
      <c r="Z782" s="102"/>
      <c r="AA782" s="102"/>
      <c r="AB782" s="102"/>
      <c r="AC782" s="102"/>
      <c r="AD782" s="102"/>
      <c r="AE782" s="102"/>
      <c r="AF782" s="102"/>
      <c r="AG782" s="102"/>
      <c r="AH782" s="102"/>
      <c r="AI782" s="102"/>
      <c r="AJ782" s="102"/>
      <c r="AK782" s="102"/>
      <c r="AL782" s="102"/>
      <c r="AM782" s="102"/>
      <c r="AN782" s="102"/>
      <c r="AO782" s="102"/>
      <c r="AP782" s="102"/>
      <c r="AQ782" s="102"/>
      <c r="AR782" s="102"/>
      <c r="AS782" s="102"/>
      <c r="AT782" s="102"/>
      <c r="AU782" s="102"/>
    </row>
    <row r="783" spans="1:47" s="78" customFormat="1" ht="12.6" customHeight="1" x14ac:dyDescent="0.3">
      <c r="A783" s="102"/>
      <c r="V783" s="102"/>
      <c r="W783" s="102"/>
      <c r="X783" s="102"/>
      <c r="Y783" s="102"/>
      <c r="Z783" s="102"/>
      <c r="AA783" s="102"/>
      <c r="AB783" s="102"/>
      <c r="AC783" s="102"/>
      <c r="AD783" s="102"/>
      <c r="AE783" s="102"/>
      <c r="AF783" s="102"/>
      <c r="AG783" s="102"/>
      <c r="AH783" s="102"/>
      <c r="AI783" s="102"/>
      <c r="AJ783" s="102"/>
      <c r="AK783" s="102"/>
      <c r="AL783" s="102"/>
      <c r="AM783" s="102"/>
      <c r="AN783" s="102"/>
      <c r="AO783" s="102"/>
      <c r="AP783" s="102"/>
      <c r="AQ783" s="102"/>
      <c r="AR783" s="102"/>
      <c r="AS783" s="102"/>
      <c r="AT783" s="102"/>
      <c r="AU783" s="102"/>
    </row>
    <row r="784" spans="1:47" s="78" customFormat="1" ht="12.6" customHeight="1" x14ac:dyDescent="0.3">
      <c r="A784" s="102"/>
      <c r="V784" s="102"/>
      <c r="W784" s="102"/>
      <c r="X784" s="102"/>
      <c r="Y784" s="102"/>
      <c r="Z784" s="102"/>
      <c r="AA784" s="102"/>
      <c r="AB784" s="102"/>
      <c r="AC784" s="102"/>
      <c r="AD784" s="102"/>
      <c r="AE784" s="102"/>
      <c r="AF784" s="102"/>
      <c r="AG784" s="102"/>
      <c r="AH784" s="102"/>
      <c r="AI784" s="102"/>
      <c r="AJ784" s="102"/>
      <c r="AK784" s="102"/>
      <c r="AL784" s="102"/>
      <c r="AM784" s="102"/>
      <c r="AN784" s="102"/>
      <c r="AO784" s="102"/>
      <c r="AP784" s="102"/>
      <c r="AQ784" s="102"/>
      <c r="AR784" s="102"/>
      <c r="AS784" s="102"/>
      <c r="AT784" s="102"/>
      <c r="AU784" s="102"/>
    </row>
    <row r="785" spans="1:47" s="78" customFormat="1" ht="12.6" customHeight="1" x14ac:dyDescent="0.3">
      <c r="A785" s="102"/>
      <c r="V785" s="102"/>
      <c r="W785" s="102"/>
      <c r="X785" s="102"/>
      <c r="Y785" s="102"/>
      <c r="Z785" s="102"/>
      <c r="AA785" s="102"/>
      <c r="AB785" s="102"/>
      <c r="AC785" s="102"/>
      <c r="AD785" s="102"/>
      <c r="AE785" s="102"/>
      <c r="AF785" s="102"/>
      <c r="AG785" s="102"/>
      <c r="AH785" s="102"/>
      <c r="AI785" s="102"/>
      <c r="AJ785" s="102"/>
      <c r="AK785" s="102"/>
      <c r="AL785" s="102"/>
      <c r="AM785" s="102"/>
      <c r="AN785" s="102"/>
      <c r="AO785" s="102"/>
      <c r="AP785" s="102"/>
      <c r="AQ785" s="102"/>
      <c r="AR785" s="102"/>
      <c r="AS785" s="102"/>
      <c r="AT785" s="102"/>
      <c r="AU785" s="102"/>
    </row>
    <row r="786" spans="1:47" s="78" customFormat="1" ht="12.6" customHeight="1" x14ac:dyDescent="0.3">
      <c r="A786" s="102"/>
      <c r="V786" s="102"/>
      <c r="W786" s="102"/>
      <c r="X786" s="102"/>
      <c r="Y786" s="102"/>
      <c r="Z786" s="102"/>
      <c r="AA786" s="102"/>
      <c r="AB786" s="102"/>
      <c r="AC786" s="102"/>
      <c r="AD786" s="102"/>
      <c r="AE786" s="102"/>
      <c r="AF786" s="102"/>
      <c r="AG786" s="102"/>
      <c r="AH786" s="102"/>
      <c r="AI786" s="102"/>
      <c r="AJ786" s="102"/>
      <c r="AK786" s="102"/>
      <c r="AL786" s="102"/>
      <c r="AM786" s="102"/>
      <c r="AN786" s="102"/>
      <c r="AO786" s="102"/>
      <c r="AP786" s="102"/>
      <c r="AQ786" s="102"/>
      <c r="AR786" s="102"/>
      <c r="AS786" s="102"/>
      <c r="AT786" s="102"/>
      <c r="AU786" s="102"/>
    </row>
    <row r="787" spans="1:47" s="78" customFormat="1" ht="12.6" customHeight="1" x14ac:dyDescent="0.3">
      <c r="A787" s="102"/>
      <c r="V787" s="102"/>
      <c r="W787" s="102"/>
      <c r="X787" s="102"/>
      <c r="Y787" s="102"/>
      <c r="Z787" s="102"/>
      <c r="AA787" s="102"/>
      <c r="AB787" s="102"/>
      <c r="AC787" s="102"/>
      <c r="AD787" s="102"/>
      <c r="AE787" s="102"/>
      <c r="AF787" s="102"/>
      <c r="AG787" s="102"/>
      <c r="AH787" s="102"/>
      <c r="AI787" s="102"/>
      <c r="AJ787" s="102"/>
      <c r="AK787" s="102"/>
      <c r="AL787" s="102"/>
      <c r="AM787" s="102"/>
      <c r="AN787" s="102"/>
      <c r="AO787" s="102"/>
      <c r="AP787" s="102"/>
      <c r="AQ787" s="102"/>
      <c r="AR787" s="102"/>
      <c r="AS787" s="102"/>
      <c r="AT787" s="102"/>
      <c r="AU787" s="102"/>
    </row>
    <row r="788" spans="1:47" s="78" customFormat="1" ht="12.6" customHeight="1" x14ac:dyDescent="0.3">
      <c r="A788" s="102"/>
      <c r="V788" s="102"/>
      <c r="W788" s="102"/>
      <c r="X788" s="102"/>
      <c r="Y788" s="102"/>
      <c r="Z788" s="102"/>
      <c r="AA788" s="102"/>
      <c r="AB788" s="102"/>
      <c r="AC788" s="102"/>
      <c r="AD788" s="102"/>
      <c r="AE788" s="102"/>
      <c r="AF788" s="102"/>
      <c r="AG788" s="102"/>
      <c r="AH788" s="102"/>
      <c r="AI788" s="102"/>
      <c r="AJ788" s="102"/>
      <c r="AK788" s="102"/>
      <c r="AL788" s="102"/>
      <c r="AM788" s="102"/>
      <c r="AN788" s="102"/>
      <c r="AO788" s="102"/>
      <c r="AP788" s="102"/>
      <c r="AQ788" s="102"/>
      <c r="AR788" s="102"/>
      <c r="AS788" s="102"/>
      <c r="AT788" s="102"/>
      <c r="AU788" s="102"/>
    </row>
    <row r="789" spans="1:47" s="78" customFormat="1" ht="12.6" customHeight="1" x14ac:dyDescent="0.3">
      <c r="A789" s="102"/>
      <c r="V789" s="102"/>
      <c r="W789" s="102"/>
      <c r="X789" s="102"/>
      <c r="Y789" s="102"/>
      <c r="Z789" s="102"/>
      <c r="AA789" s="102"/>
      <c r="AB789" s="102"/>
      <c r="AC789" s="102"/>
      <c r="AD789" s="102"/>
      <c r="AE789" s="102"/>
      <c r="AF789" s="102"/>
      <c r="AG789" s="102"/>
      <c r="AH789" s="102"/>
      <c r="AI789" s="102"/>
      <c r="AJ789" s="102"/>
      <c r="AK789" s="102"/>
      <c r="AL789" s="102"/>
      <c r="AM789" s="102"/>
      <c r="AN789" s="102"/>
      <c r="AO789" s="102"/>
      <c r="AP789" s="102"/>
      <c r="AQ789" s="102"/>
      <c r="AR789" s="102"/>
      <c r="AS789" s="102"/>
      <c r="AT789" s="102"/>
      <c r="AU789" s="102"/>
    </row>
    <row r="790" spans="1:47" s="78" customFormat="1" ht="12.6" customHeight="1" x14ac:dyDescent="0.3">
      <c r="A790" s="102"/>
      <c r="V790" s="102"/>
      <c r="W790" s="102"/>
      <c r="X790" s="102"/>
      <c r="Y790" s="102"/>
      <c r="Z790" s="102"/>
      <c r="AA790" s="102"/>
      <c r="AB790" s="102"/>
      <c r="AC790" s="102"/>
      <c r="AD790" s="102"/>
      <c r="AE790" s="102"/>
      <c r="AF790" s="102"/>
      <c r="AG790" s="102"/>
      <c r="AH790" s="102"/>
      <c r="AI790" s="102"/>
      <c r="AJ790" s="102"/>
      <c r="AK790" s="102"/>
      <c r="AL790" s="102"/>
      <c r="AM790" s="102"/>
      <c r="AN790" s="102"/>
      <c r="AO790" s="102"/>
      <c r="AP790" s="102"/>
      <c r="AQ790" s="102"/>
      <c r="AR790" s="102"/>
      <c r="AS790" s="102"/>
      <c r="AT790" s="102"/>
      <c r="AU790" s="102"/>
    </row>
    <row r="791" spans="1:47" s="78" customFormat="1" ht="12.6" customHeight="1" x14ac:dyDescent="0.3">
      <c r="A791" s="102"/>
      <c r="V791" s="102"/>
      <c r="W791" s="102"/>
      <c r="X791" s="102"/>
      <c r="Y791" s="102"/>
      <c r="Z791" s="102"/>
      <c r="AA791" s="102"/>
      <c r="AB791" s="102"/>
      <c r="AC791" s="102"/>
      <c r="AD791" s="102"/>
      <c r="AE791" s="102"/>
      <c r="AF791" s="102"/>
      <c r="AG791" s="102"/>
      <c r="AH791" s="102"/>
      <c r="AI791" s="102"/>
      <c r="AJ791" s="102"/>
      <c r="AK791" s="102"/>
      <c r="AL791" s="102"/>
      <c r="AM791" s="102"/>
      <c r="AN791" s="102"/>
      <c r="AO791" s="102"/>
      <c r="AP791" s="102"/>
      <c r="AQ791" s="102"/>
      <c r="AR791" s="102"/>
      <c r="AS791" s="102"/>
      <c r="AT791" s="102"/>
      <c r="AU791" s="102"/>
    </row>
    <row r="792" spans="1:47" s="78" customFormat="1" ht="12.6" customHeight="1" x14ac:dyDescent="0.3">
      <c r="A792" s="102"/>
      <c r="V792" s="102"/>
      <c r="W792" s="102"/>
      <c r="X792" s="102"/>
      <c r="Y792" s="102"/>
      <c r="Z792" s="102"/>
      <c r="AA792" s="102"/>
      <c r="AB792" s="102"/>
      <c r="AC792" s="102"/>
      <c r="AD792" s="102"/>
      <c r="AE792" s="102"/>
      <c r="AF792" s="102"/>
      <c r="AG792" s="102"/>
      <c r="AH792" s="102"/>
      <c r="AI792" s="102"/>
      <c r="AJ792" s="102"/>
      <c r="AK792" s="102"/>
      <c r="AL792" s="102"/>
      <c r="AM792" s="102"/>
      <c r="AN792" s="102"/>
      <c r="AO792" s="102"/>
      <c r="AP792" s="102"/>
      <c r="AQ792" s="102"/>
      <c r="AR792" s="102"/>
      <c r="AS792" s="102"/>
      <c r="AT792" s="102"/>
      <c r="AU792" s="102"/>
    </row>
    <row r="793" spans="1:47" s="78" customFormat="1" ht="12.6" customHeight="1" x14ac:dyDescent="0.3">
      <c r="A793" s="102"/>
      <c r="V793" s="102"/>
      <c r="W793" s="102"/>
      <c r="X793" s="102"/>
      <c r="Y793" s="102"/>
      <c r="Z793" s="102"/>
      <c r="AA793" s="102"/>
      <c r="AB793" s="102"/>
      <c r="AC793" s="102"/>
      <c r="AD793" s="102"/>
      <c r="AE793" s="102"/>
      <c r="AF793" s="102"/>
      <c r="AG793" s="102"/>
      <c r="AH793" s="102"/>
      <c r="AI793" s="102"/>
      <c r="AJ793" s="102"/>
      <c r="AK793" s="102"/>
      <c r="AL793" s="102"/>
      <c r="AM793" s="102"/>
      <c r="AN793" s="102"/>
      <c r="AO793" s="102"/>
      <c r="AP793" s="102"/>
      <c r="AQ793" s="102"/>
      <c r="AR793" s="102"/>
      <c r="AS793" s="102"/>
      <c r="AT793" s="102"/>
      <c r="AU793" s="102"/>
    </row>
    <row r="794" spans="1:47" s="78" customFormat="1" ht="12.6" customHeight="1" x14ac:dyDescent="0.3">
      <c r="A794" s="102"/>
      <c r="V794" s="102"/>
      <c r="W794" s="102"/>
      <c r="X794" s="102"/>
      <c r="Y794" s="102"/>
      <c r="Z794" s="102"/>
      <c r="AA794" s="102"/>
      <c r="AB794" s="102"/>
      <c r="AC794" s="102"/>
      <c r="AD794" s="102"/>
      <c r="AE794" s="102"/>
      <c r="AF794" s="102"/>
      <c r="AG794" s="102"/>
      <c r="AH794" s="102"/>
      <c r="AI794" s="102"/>
      <c r="AJ794" s="102"/>
      <c r="AK794" s="102"/>
      <c r="AL794" s="102"/>
      <c r="AM794" s="102"/>
      <c r="AN794" s="102"/>
      <c r="AO794" s="102"/>
      <c r="AP794" s="102"/>
      <c r="AQ794" s="102"/>
      <c r="AR794" s="102"/>
      <c r="AS794" s="102"/>
      <c r="AT794" s="102"/>
      <c r="AU794" s="102"/>
    </row>
    <row r="795" spans="1:47" s="78" customFormat="1" ht="12.6" customHeight="1" x14ac:dyDescent="0.3">
      <c r="A795" s="102"/>
      <c r="V795" s="102"/>
      <c r="W795" s="102"/>
      <c r="X795" s="102"/>
      <c r="Y795" s="102"/>
      <c r="Z795" s="102"/>
      <c r="AA795" s="102"/>
      <c r="AB795" s="102"/>
      <c r="AC795" s="102"/>
      <c r="AD795" s="102"/>
      <c r="AE795" s="102"/>
      <c r="AF795" s="102"/>
      <c r="AG795" s="102"/>
      <c r="AH795" s="102"/>
      <c r="AI795" s="102"/>
      <c r="AJ795" s="102"/>
      <c r="AK795" s="102"/>
      <c r="AL795" s="102"/>
      <c r="AM795" s="102"/>
      <c r="AN795" s="102"/>
      <c r="AO795" s="102"/>
      <c r="AP795" s="102"/>
      <c r="AQ795" s="102"/>
      <c r="AR795" s="102"/>
      <c r="AS795" s="102"/>
      <c r="AT795" s="102"/>
      <c r="AU795" s="102"/>
    </row>
    <row r="796" spans="1:47" s="78" customFormat="1" ht="12.6" customHeight="1" x14ac:dyDescent="0.3">
      <c r="A796" s="102"/>
      <c r="V796" s="102"/>
      <c r="W796" s="102"/>
      <c r="X796" s="102"/>
      <c r="Y796" s="102"/>
      <c r="Z796" s="102"/>
      <c r="AA796" s="102"/>
      <c r="AB796" s="102"/>
      <c r="AC796" s="102"/>
      <c r="AD796" s="102"/>
      <c r="AE796" s="102"/>
      <c r="AF796" s="102"/>
      <c r="AG796" s="102"/>
      <c r="AH796" s="102"/>
      <c r="AI796" s="102"/>
      <c r="AJ796" s="102"/>
      <c r="AK796" s="102"/>
      <c r="AL796" s="102"/>
      <c r="AM796" s="102"/>
      <c r="AN796" s="102"/>
      <c r="AO796" s="102"/>
      <c r="AP796" s="102"/>
      <c r="AQ796" s="102"/>
      <c r="AR796" s="102"/>
      <c r="AS796" s="102"/>
      <c r="AT796" s="102"/>
      <c r="AU796" s="102"/>
    </row>
    <row r="797" spans="1:47" s="78" customFormat="1" ht="12.6" customHeight="1" x14ac:dyDescent="0.3">
      <c r="A797" s="102"/>
      <c r="V797" s="102"/>
      <c r="W797" s="102"/>
      <c r="X797" s="102"/>
      <c r="Y797" s="102"/>
      <c r="Z797" s="102"/>
      <c r="AA797" s="102"/>
      <c r="AB797" s="102"/>
      <c r="AC797" s="102"/>
      <c r="AD797" s="102"/>
      <c r="AE797" s="102"/>
      <c r="AF797" s="102"/>
      <c r="AG797" s="102"/>
      <c r="AH797" s="102"/>
      <c r="AI797" s="102"/>
      <c r="AJ797" s="102"/>
      <c r="AK797" s="102"/>
      <c r="AL797" s="102"/>
      <c r="AM797" s="102"/>
      <c r="AN797" s="102"/>
      <c r="AO797" s="102"/>
      <c r="AP797" s="102"/>
      <c r="AQ797" s="102"/>
      <c r="AR797" s="102"/>
      <c r="AS797" s="102"/>
      <c r="AT797" s="102"/>
      <c r="AU797" s="102"/>
    </row>
    <row r="798" spans="1:47" s="78" customFormat="1" ht="12.6" customHeight="1" x14ac:dyDescent="0.3">
      <c r="A798" s="102"/>
      <c r="V798" s="102"/>
      <c r="W798" s="102"/>
      <c r="X798" s="102"/>
      <c r="Y798" s="102"/>
      <c r="Z798" s="102"/>
      <c r="AA798" s="102"/>
      <c r="AB798" s="102"/>
      <c r="AC798" s="102"/>
      <c r="AD798" s="102"/>
      <c r="AE798" s="102"/>
      <c r="AF798" s="102"/>
      <c r="AG798" s="102"/>
      <c r="AH798" s="102"/>
      <c r="AI798" s="102"/>
      <c r="AJ798" s="102"/>
      <c r="AK798" s="102"/>
      <c r="AL798" s="102"/>
      <c r="AM798" s="102"/>
      <c r="AN798" s="102"/>
      <c r="AO798" s="102"/>
      <c r="AP798" s="102"/>
      <c r="AQ798" s="102"/>
      <c r="AR798" s="102"/>
      <c r="AS798" s="102"/>
      <c r="AT798" s="102"/>
      <c r="AU798" s="102"/>
    </row>
    <row r="799" spans="1:47" s="78" customFormat="1" ht="12.6" customHeight="1" x14ac:dyDescent="0.3">
      <c r="A799" s="102"/>
      <c r="V799" s="102"/>
      <c r="W799" s="102"/>
      <c r="X799" s="102"/>
      <c r="Y799" s="102"/>
      <c r="Z799" s="102"/>
      <c r="AA799" s="102"/>
      <c r="AB799" s="102"/>
      <c r="AC799" s="102"/>
      <c r="AD799" s="102"/>
      <c r="AE799" s="102"/>
      <c r="AF799" s="102"/>
      <c r="AG799" s="102"/>
      <c r="AH799" s="102"/>
      <c r="AI799" s="102"/>
      <c r="AJ799" s="102"/>
      <c r="AK799" s="102"/>
      <c r="AL799" s="102"/>
      <c r="AM799" s="102"/>
      <c r="AN799" s="102"/>
      <c r="AO799" s="102"/>
      <c r="AP799" s="102"/>
      <c r="AQ799" s="102"/>
      <c r="AR799" s="102"/>
      <c r="AS799" s="102"/>
      <c r="AT799" s="102"/>
      <c r="AU799" s="102"/>
    </row>
    <row r="800" spans="1:47" s="78" customFormat="1" ht="12.6" customHeight="1" x14ac:dyDescent="0.3">
      <c r="A800" s="102"/>
      <c r="V800" s="102"/>
      <c r="W800" s="102"/>
      <c r="X800" s="102"/>
      <c r="Y800" s="102"/>
      <c r="Z800" s="102"/>
      <c r="AA800" s="102"/>
      <c r="AB800" s="102"/>
      <c r="AC800" s="102"/>
      <c r="AD800" s="102"/>
      <c r="AE800" s="102"/>
      <c r="AF800" s="102"/>
      <c r="AG800" s="102"/>
      <c r="AH800" s="102"/>
      <c r="AI800" s="102"/>
      <c r="AJ800" s="102"/>
      <c r="AK800" s="102"/>
      <c r="AL800" s="102"/>
      <c r="AM800" s="102"/>
      <c r="AN800" s="102"/>
      <c r="AO800" s="102"/>
      <c r="AP800" s="102"/>
      <c r="AQ800" s="102"/>
      <c r="AR800" s="102"/>
      <c r="AS800" s="102"/>
      <c r="AT800" s="102"/>
      <c r="AU800" s="102"/>
    </row>
    <row r="801" spans="1:47" s="78" customFormat="1" ht="12.6" customHeight="1" x14ac:dyDescent="0.3">
      <c r="A801" s="102"/>
      <c r="V801" s="102"/>
      <c r="W801" s="102"/>
      <c r="X801" s="102"/>
      <c r="Y801" s="102"/>
      <c r="Z801" s="102"/>
      <c r="AA801" s="102"/>
      <c r="AB801" s="102"/>
      <c r="AC801" s="102"/>
      <c r="AD801" s="102"/>
      <c r="AE801" s="102"/>
      <c r="AF801" s="102"/>
      <c r="AG801" s="102"/>
      <c r="AH801" s="102"/>
      <c r="AI801" s="102"/>
      <c r="AJ801" s="102"/>
      <c r="AK801" s="102"/>
      <c r="AL801" s="102"/>
      <c r="AM801" s="102"/>
      <c r="AN801" s="102"/>
      <c r="AO801" s="102"/>
      <c r="AP801" s="102"/>
      <c r="AQ801" s="102"/>
      <c r="AR801" s="102"/>
      <c r="AS801" s="102"/>
      <c r="AT801" s="102"/>
      <c r="AU801" s="102"/>
    </row>
    <row r="802" spans="1:47" s="78" customFormat="1" ht="12.6" customHeight="1" x14ac:dyDescent="0.3">
      <c r="A802" s="102"/>
      <c r="V802" s="102"/>
      <c r="W802" s="102"/>
      <c r="X802" s="102"/>
      <c r="Y802" s="102"/>
      <c r="Z802" s="102"/>
      <c r="AA802" s="102"/>
      <c r="AB802" s="102"/>
      <c r="AC802" s="102"/>
      <c r="AD802" s="102"/>
      <c r="AE802" s="102"/>
      <c r="AF802" s="102"/>
      <c r="AG802" s="102"/>
      <c r="AH802" s="102"/>
      <c r="AI802" s="102"/>
      <c r="AJ802" s="102"/>
      <c r="AK802" s="102"/>
      <c r="AL802" s="102"/>
      <c r="AM802" s="102"/>
      <c r="AN802" s="102"/>
      <c r="AO802" s="102"/>
      <c r="AP802" s="102"/>
      <c r="AQ802" s="102"/>
      <c r="AR802" s="102"/>
      <c r="AS802" s="102"/>
      <c r="AT802" s="102"/>
      <c r="AU802" s="102"/>
    </row>
    <row r="803" spans="1:47" s="78" customFormat="1" ht="12.6" customHeight="1" x14ac:dyDescent="0.3">
      <c r="A803" s="102"/>
      <c r="V803" s="102"/>
      <c r="W803" s="102"/>
      <c r="X803" s="102"/>
      <c r="Y803" s="102"/>
      <c r="Z803" s="102"/>
      <c r="AA803" s="102"/>
      <c r="AB803" s="102"/>
      <c r="AC803" s="102"/>
      <c r="AD803" s="102"/>
      <c r="AE803" s="102"/>
      <c r="AF803" s="102"/>
      <c r="AG803" s="102"/>
      <c r="AH803" s="102"/>
      <c r="AI803" s="102"/>
      <c r="AJ803" s="102"/>
      <c r="AK803" s="102"/>
      <c r="AL803" s="102"/>
      <c r="AM803" s="102"/>
      <c r="AN803" s="102"/>
      <c r="AO803" s="102"/>
      <c r="AP803" s="102"/>
      <c r="AQ803" s="102"/>
      <c r="AR803" s="102"/>
      <c r="AS803" s="102"/>
      <c r="AT803" s="102"/>
      <c r="AU803" s="102"/>
    </row>
    <row r="804" spans="1:47" s="78" customFormat="1" ht="12.6" customHeight="1" x14ac:dyDescent="0.3">
      <c r="A804" s="102"/>
      <c r="V804" s="102"/>
      <c r="W804" s="102"/>
      <c r="X804" s="102"/>
      <c r="Y804" s="102"/>
      <c r="Z804" s="102"/>
      <c r="AA804" s="102"/>
      <c r="AB804" s="102"/>
      <c r="AC804" s="102"/>
      <c r="AD804" s="102"/>
      <c r="AE804" s="102"/>
      <c r="AF804" s="102"/>
      <c r="AG804" s="102"/>
      <c r="AH804" s="102"/>
      <c r="AI804" s="102"/>
      <c r="AJ804" s="102"/>
      <c r="AK804" s="102"/>
      <c r="AL804" s="102"/>
      <c r="AM804" s="102"/>
      <c r="AN804" s="102"/>
      <c r="AO804" s="102"/>
      <c r="AP804" s="102"/>
      <c r="AQ804" s="102"/>
      <c r="AR804" s="102"/>
      <c r="AS804" s="102"/>
      <c r="AT804" s="102"/>
      <c r="AU804" s="102"/>
    </row>
    <row r="805" spans="1:47" s="78" customFormat="1" ht="12.6" customHeight="1" x14ac:dyDescent="0.3">
      <c r="A805" s="102"/>
      <c r="V805" s="102"/>
      <c r="W805" s="102"/>
      <c r="X805" s="102"/>
      <c r="Y805" s="102"/>
      <c r="Z805" s="102"/>
      <c r="AA805" s="102"/>
      <c r="AB805" s="102"/>
      <c r="AC805" s="102"/>
      <c r="AD805" s="102"/>
      <c r="AE805" s="102"/>
      <c r="AF805" s="102"/>
      <c r="AG805" s="102"/>
      <c r="AH805" s="102"/>
      <c r="AI805" s="102"/>
      <c r="AJ805" s="102"/>
      <c r="AK805" s="102"/>
      <c r="AL805" s="102"/>
      <c r="AM805" s="102"/>
      <c r="AN805" s="102"/>
      <c r="AO805" s="102"/>
      <c r="AP805" s="102"/>
      <c r="AQ805" s="102"/>
      <c r="AR805" s="102"/>
      <c r="AS805" s="102"/>
      <c r="AT805" s="102"/>
      <c r="AU805" s="102"/>
    </row>
    <row r="806" spans="1:47" s="78" customFormat="1" ht="12.6" customHeight="1" x14ac:dyDescent="0.3">
      <c r="A806" s="102"/>
      <c r="V806" s="102"/>
      <c r="W806" s="102"/>
      <c r="X806" s="102"/>
      <c r="Y806" s="102"/>
      <c r="Z806" s="102"/>
      <c r="AA806" s="102"/>
      <c r="AB806" s="102"/>
      <c r="AC806" s="102"/>
      <c r="AD806" s="102"/>
      <c r="AE806" s="102"/>
      <c r="AF806" s="102"/>
      <c r="AG806" s="102"/>
      <c r="AH806" s="102"/>
      <c r="AI806" s="102"/>
      <c r="AJ806" s="102"/>
      <c r="AK806" s="102"/>
      <c r="AL806" s="102"/>
      <c r="AM806" s="102"/>
      <c r="AN806" s="102"/>
      <c r="AO806" s="102"/>
      <c r="AP806" s="102"/>
      <c r="AQ806" s="102"/>
      <c r="AR806" s="102"/>
      <c r="AS806" s="102"/>
      <c r="AT806" s="102"/>
      <c r="AU806" s="102"/>
    </row>
    <row r="807" spans="1:47" s="78" customFormat="1" ht="12.6" customHeight="1" x14ac:dyDescent="0.3">
      <c r="A807" s="102"/>
      <c r="V807" s="102"/>
      <c r="W807" s="102"/>
      <c r="X807" s="102"/>
      <c r="Y807" s="102"/>
      <c r="Z807" s="102"/>
      <c r="AA807" s="102"/>
      <c r="AB807" s="102"/>
      <c r="AC807" s="102"/>
      <c r="AD807" s="102"/>
      <c r="AE807" s="102"/>
      <c r="AF807" s="102"/>
      <c r="AG807" s="102"/>
      <c r="AH807" s="102"/>
      <c r="AI807" s="102"/>
      <c r="AJ807" s="102"/>
      <c r="AK807" s="102"/>
      <c r="AL807" s="102"/>
      <c r="AM807" s="102"/>
      <c r="AN807" s="102"/>
      <c r="AO807" s="102"/>
      <c r="AP807" s="102"/>
      <c r="AQ807" s="102"/>
      <c r="AR807" s="102"/>
      <c r="AS807" s="102"/>
      <c r="AT807" s="102"/>
      <c r="AU807" s="102"/>
    </row>
    <row r="808" spans="1:47" s="78" customFormat="1" ht="12.6" customHeight="1" x14ac:dyDescent="0.3">
      <c r="A808" s="102"/>
      <c r="V808" s="102"/>
      <c r="W808" s="102"/>
      <c r="X808" s="102"/>
      <c r="Y808" s="102"/>
      <c r="Z808" s="102"/>
      <c r="AA808" s="102"/>
      <c r="AB808" s="102"/>
      <c r="AC808" s="102"/>
      <c r="AD808" s="102"/>
      <c r="AE808" s="102"/>
      <c r="AF808" s="102"/>
      <c r="AG808" s="102"/>
      <c r="AH808" s="102"/>
      <c r="AI808" s="102"/>
      <c r="AJ808" s="102"/>
      <c r="AK808" s="102"/>
      <c r="AL808" s="102"/>
      <c r="AM808" s="102"/>
      <c r="AN808" s="102"/>
      <c r="AO808" s="102"/>
      <c r="AP808" s="102"/>
      <c r="AQ808" s="102"/>
      <c r="AR808" s="102"/>
      <c r="AS808" s="102"/>
      <c r="AT808" s="102"/>
      <c r="AU808" s="102"/>
    </row>
    <row r="809" spans="1:47" s="78" customFormat="1" ht="12.6" customHeight="1" x14ac:dyDescent="0.3">
      <c r="A809" s="102"/>
      <c r="V809" s="102"/>
      <c r="W809" s="102"/>
      <c r="X809" s="102"/>
      <c r="Y809" s="102"/>
      <c r="Z809" s="102"/>
      <c r="AA809" s="102"/>
      <c r="AB809" s="102"/>
      <c r="AC809" s="102"/>
      <c r="AD809" s="102"/>
      <c r="AE809" s="102"/>
      <c r="AF809" s="102"/>
      <c r="AG809" s="102"/>
      <c r="AH809" s="102"/>
      <c r="AI809" s="102"/>
      <c r="AJ809" s="102"/>
      <c r="AK809" s="102"/>
      <c r="AL809" s="102"/>
      <c r="AM809" s="102"/>
      <c r="AN809" s="102"/>
      <c r="AO809" s="102"/>
      <c r="AP809" s="102"/>
      <c r="AQ809" s="102"/>
      <c r="AR809" s="102"/>
      <c r="AS809" s="102"/>
      <c r="AT809" s="102"/>
      <c r="AU809" s="102"/>
    </row>
    <row r="810" spans="1:47" s="78" customFormat="1" ht="12.6" customHeight="1" x14ac:dyDescent="0.3">
      <c r="A810" s="102"/>
      <c r="V810" s="102"/>
      <c r="W810" s="102"/>
      <c r="X810" s="102"/>
      <c r="Y810" s="102"/>
      <c r="Z810" s="102"/>
      <c r="AA810" s="102"/>
      <c r="AB810" s="102"/>
      <c r="AC810" s="102"/>
      <c r="AD810" s="102"/>
      <c r="AE810" s="102"/>
      <c r="AF810" s="102"/>
      <c r="AG810" s="102"/>
      <c r="AH810" s="102"/>
      <c r="AI810" s="102"/>
      <c r="AJ810" s="102"/>
      <c r="AK810" s="102"/>
      <c r="AL810" s="102"/>
      <c r="AM810" s="102"/>
      <c r="AN810" s="102"/>
      <c r="AO810" s="102"/>
      <c r="AP810" s="102"/>
      <c r="AQ810" s="102"/>
      <c r="AR810" s="102"/>
      <c r="AS810" s="102"/>
      <c r="AT810" s="102"/>
      <c r="AU810" s="102"/>
    </row>
    <row r="811" spans="1:47" s="78" customFormat="1" ht="12.6" customHeight="1" x14ac:dyDescent="0.3">
      <c r="A811" s="102"/>
      <c r="V811" s="102"/>
      <c r="W811" s="102"/>
      <c r="X811" s="102"/>
      <c r="Y811" s="102"/>
      <c r="Z811" s="102"/>
      <c r="AA811" s="102"/>
      <c r="AB811" s="102"/>
      <c r="AC811" s="102"/>
      <c r="AD811" s="102"/>
      <c r="AE811" s="102"/>
      <c r="AF811" s="102"/>
      <c r="AG811" s="102"/>
      <c r="AH811" s="102"/>
      <c r="AI811" s="102"/>
      <c r="AJ811" s="102"/>
      <c r="AK811" s="102"/>
      <c r="AL811" s="102"/>
      <c r="AM811" s="102"/>
      <c r="AN811" s="102"/>
      <c r="AO811" s="102"/>
      <c r="AP811" s="102"/>
      <c r="AQ811" s="102"/>
      <c r="AR811" s="102"/>
      <c r="AS811" s="102"/>
      <c r="AT811" s="102"/>
      <c r="AU811" s="102"/>
    </row>
    <row r="812" spans="1:47" s="78" customFormat="1" ht="12.6" customHeight="1" x14ac:dyDescent="0.3">
      <c r="A812" s="102"/>
      <c r="V812" s="102"/>
      <c r="W812" s="102"/>
      <c r="X812" s="102"/>
      <c r="Y812" s="102"/>
      <c r="Z812" s="102"/>
      <c r="AA812" s="102"/>
      <c r="AB812" s="102"/>
      <c r="AC812" s="102"/>
      <c r="AD812" s="102"/>
      <c r="AE812" s="102"/>
      <c r="AF812" s="102"/>
      <c r="AG812" s="102"/>
      <c r="AH812" s="102"/>
      <c r="AI812" s="102"/>
      <c r="AJ812" s="102"/>
      <c r="AK812" s="102"/>
      <c r="AL812" s="102"/>
      <c r="AM812" s="102"/>
      <c r="AN812" s="102"/>
      <c r="AO812" s="102"/>
      <c r="AP812" s="102"/>
      <c r="AQ812" s="102"/>
      <c r="AR812" s="102"/>
      <c r="AS812" s="102"/>
      <c r="AT812" s="102"/>
      <c r="AU812" s="102"/>
    </row>
    <row r="813" spans="1:47" s="78" customFormat="1" ht="12.6" customHeight="1" x14ac:dyDescent="0.3">
      <c r="A813" s="102"/>
      <c r="V813" s="102"/>
      <c r="W813" s="102"/>
      <c r="X813" s="102"/>
      <c r="Y813" s="102"/>
      <c r="Z813" s="102"/>
      <c r="AA813" s="102"/>
      <c r="AB813" s="102"/>
      <c r="AC813" s="102"/>
      <c r="AD813" s="102"/>
      <c r="AE813" s="102"/>
      <c r="AF813" s="102"/>
      <c r="AG813" s="102"/>
      <c r="AH813" s="102"/>
      <c r="AI813" s="102"/>
      <c r="AJ813" s="102"/>
      <c r="AK813" s="102"/>
      <c r="AL813" s="102"/>
      <c r="AM813" s="102"/>
      <c r="AN813" s="102"/>
      <c r="AO813" s="102"/>
      <c r="AP813" s="102"/>
      <c r="AQ813" s="102"/>
      <c r="AR813" s="102"/>
      <c r="AS813" s="102"/>
      <c r="AT813" s="102"/>
      <c r="AU813" s="102"/>
    </row>
    <row r="814" spans="1:47" s="78" customFormat="1" ht="12.6" customHeight="1" x14ac:dyDescent="0.3">
      <c r="A814" s="102"/>
      <c r="V814" s="102"/>
      <c r="W814" s="102"/>
      <c r="X814" s="102"/>
      <c r="Y814" s="102"/>
      <c r="Z814" s="102"/>
      <c r="AA814" s="102"/>
      <c r="AB814" s="102"/>
      <c r="AC814" s="102"/>
      <c r="AD814" s="102"/>
      <c r="AE814" s="102"/>
      <c r="AF814" s="102"/>
      <c r="AG814" s="102"/>
      <c r="AH814" s="102"/>
      <c r="AI814" s="102"/>
      <c r="AJ814" s="102"/>
      <c r="AK814" s="102"/>
      <c r="AL814" s="102"/>
      <c r="AM814" s="102"/>
      <c r="AN814" s="102"/>
      <c r="AO814" s="102"/>
      <c r="AP814" s="102"/>
      <c r="AQ814" s="102"/>
      <c r="AR814" s="102"/>
      <c r="AS814" s="102"/>
      <c r="AT814" s="102"/>
      <c r="AU814" s="102"/>
    </row>
    <row r="815" spans="1:47" s="78" customFormat="1" ht="12.6" customHeight="1" x14ac:dyDescent="0.3">
      <c r="A815" s="102"/>
      <c r="V815" s="102"/>
      <c r="W815" s="102"/>
      <c r="X815" s="102"/>
      <c r="Y815" s="102"/>
      <c r="Z815" s="102"/>
      <c r="AA815" s="102"/>
      <c r="AB815" s="102"/>
      <c r="AC815" s="102"/>
      <c r="AD815" s="102"/>
      <c r="AE815" s="102"/>
      <c r="AF815" s="102"/>
      <c r="AG815" s="102"/>
      <c r="AH815" s="102"/>
      <c r="AI815" s="102"/>
      <c r="AJ815" s="102"/>
      <c r="AK815" s="102"/>
      <c r="AL815" s="102"/>
      <c r="AM815" s="102"/>
      <c r="AN815" s="102"/>
      <c r="AO815" s="102"/>
      <c r="AP815" s="102"/>
      <c r="AQ815" s="102"/>
      <c r="AR815" s="102"/>
      <c r="AS815" s="102"/>
      <c r="AT815" s="102"/>
      <c r="AU815" s="102"/>
    </row>
    <row r="816" spans="1:47" s="78" customFormat="1" ht="12.6" customHeight="1" x14ac:dyDescent="0.3">
      <c r="A816" s="102"/>
      <c r="V816" s="102"/>
      <c r="W816" s="102"/>
      <c r="X816" s="102"/>
      <c r="Y816" s="102"/>
      <c r="Z816" s="102"/>
      <c r="AA816" s="102"/>
      <c r="AB816" s="102"/>
      <c r="AC816" s="102"/>
      <c r="AD816" s="102"/>
      <c r="AE816" s="102"/>
      <c r="AF816" s="102"/>
      <c r="AG816" s="102"/>
      <c r="AH816" s="102"/>
      <c r="AI816" s="102"/>
      <c r="AJ816" s="102"/>
      <c r="AK816" s="102"/>
      <c r="AL816" s="102"/>
      <c r="AM816" s="102"/>
      <c r="AN816" s="102"/>
      <c r="AO816" s="102"/>
      <c r="AP816" s="102"/>
      <c r="AQ816" s="102"/>
      <c r="AR816" s="102"/>
      <c r="AS816" s="102"/>
      <c r="AT816" s="102"/>
      <c r="AU816" s="102"/>
    </row>
    <row r="817" spans="1:47" s="78" customFormat="1" ht="12.6" customHeight="1" x14ac:dyDescent="0.3">
      <c r="A817" s="102"/>
      <c r="V817" s="102"/>
      <c r="W817" s="102"/>
      <c r="X817" s="102"/>
      <c r="Y817" s="102"/>
      <c r="Z817" s="102"/>
      <c r="AA817" s="102"/>
      <c r="AB817" s="102"/>
      <c r="AC817" s="102"/>
      <c r="AD817" s="102"/>
      <c r="AE817" s="102"/>
      <c r="AF817" s="102"/>
      <c r="AG817" s="102"/>
      <c r="AH817" s="102"/>
      <c r="AI817" s="102"/>
      <c r="AJ817" s="102"/>
      <c r="AK817" s="102"/>
      <c r="AL817" s="102"/>
      <c r="AM817" s="102"/>
      <c r="AN817" s="102"/>
      <c r="AO817" s="102"/>
      <c r="AP817" s="102"/>
      <c r="AQ817" s="102"/>
      <c r="AR817" s="102"/>
      <c r="AS817" s="102"/>
      <c r="AT817" s="102"/>
      <c r="AU817" s="102"/>
    </row>
    <row r="818" spans="1:47" s="78" customFormat="1" ht="12.6" customHeight="1" x14ac:dyDescent="0.3">
      <c r="A818" s="102"/>
      <c r="V818" s="102"/>
      <c r="W818" s="102"/>
      <c r="X818" s="102"/>
      <c r="Y818" s="102"/>
      <c r="Z818" s="102"/>
      <c r="AA818" s="102"/>
      <c r="AB818" s="102"/>
      <c r="AC818" s="102"/>
      <c r="AD818" s="102"/>
      <c r="AE818" s="102"/>
      <c r="AF818" s="102"/>
      <c r="AG818" s="102"/>
      <c r="AH818" s="102"/>
      <c r="AI818" s="102"/>
      <c r="AJ818" s="102"/>
      <c r="AK818" s="102"/>
      <c r="AL818" s="102"/>
      <c r="AM818" s="102"/>
      <c r="AN818" s="102"/>
      <c r="AO818" s="102"/>
      <c r="AP818" s="102"/>
      <c r="AQ818" s="102"/>
      <c r="AR818" s="102"/>
      <c r="AS818" s="102"/>
      <c r="AT818" s="102"/>
      <c r="AU818" s="102"/>
    </row>
    <row r="819" spans="1:47" s="78" customFormat="1" ht="12.6" customHeight="1" x14ac:dyDescent="0.3">
      <c r="A819" s="102"/>
      <c r="V819" s="102"/>
      <c r="W819" s="102"/>
      <c r="X819" s="102"/>
      <c r="Y819" s="102"/>
      <c r="Z819" s="102"/>
      <c r="AA819" s="102"/>
      <c r="AB819" s="102"/>
      <c r="AC819" s="102"/>
      <c r="AD819" s="102"/>
      <c r="AE819" s="102"/>
      <c r="AF819" s="102"/>
      <c r="AG819" s="102"/>
      <c r="AH819" s="102"/>
      <c r="AI819" s="102"/>
      <c r="AJ819" s="102"/>
      <c r="AK819" s="102"/>
      <c r="AL819" s="102"/>
      <c r="AM819" s="102"/>
      <c r="AN819" s="102"/>
      <c r="AO819" s="102"/>
      <c r="AP819" s="102"/>
      <c r="AQ819" s="102"/>
      <c r="AR819" s="102"/>
      <c r="AS819" s="102"/>
      <c r="AT819" s="102"/>
      <c r="AU819" s="102"/>
    </row>
    <row r="820" spans="1:47" s="78" customFormat="1" ht="12.6" customHeight="1" x14ac:dyDescent="0.3">
      <c r="A820" s="102"/>
      <c r="V820" s="102"/>
      <c r="W820" s="102"/>
      <c r="X820" s="102"/>
      <c r="Y820" s="102"/>
      <c r="Z820" s="102"/>
      <c r="AA820" s="102"/>
      <c r="AB820" s="102"/>
      <c r="AC820" s="102"/>
      <c r="AD820" s="102"/>
      <c r="AE820" s="102"/>
      <c r="AF820" s="102"/>
      <c r="AG820" s="102"/>
      <c r="AH820" s="102"/>
      <c r="AI820" s="102"/>
      <c r="AJ820" s="102"/>
      <c r="AK820" s="102"/>
      <c r="AL820" s="102"/>
      <c r="AM820" s="102"/>
      <c r="AN820" s="102"/>
      <c r="AO820" s="102"/>
      <c r="AP820" s="102"/>
      <c r="AQ820" s="102"/>
      <c r="AR820" s="102"/>
      <c r="AS820" s="102"/>
      <c r="AT820" s="102"/>
      <c r="AU820" s="102"/>
    </row>
    <row r="821" spans="1:47" s="78" customFormat="1" ht="12.6" customHeight="1" x14ac:dyDescent="0.3">
      <c r="A821" s="102"/>
      <c r="V821" s="102"/>
      <c r="W821" s="102"/>
      <c r="X821" s="102"/>
      <c r="Y821" s="102"/>
      <c r="Z821" s="102"/>
      <c r="AA821" s="102"/>
      <c r="AB821" s="102"/>
      <c r="AC821" s="102"/>
      <c r="AD821" s="102"/>
      <c r="AE821" s="102"/>
      <c r="AF821" s="102"/>
      <c r="AG821" s="102"/>
      <c r="AH821" s="102"/>
      <c r="AI821" s="102"/>
      <c r="AJ821" s="102"/>
      <c r="AK821" s="102"/>
      <c r="AL821" s="102"/>
      <c r="AM821" s="102"/>
      <c r="AN821" s="102"/>
      <c r="AO821" s="102"/>
      <c r="AP821" s="102"/>
      <c r="AQ821" s="102"/>
      <c r="AR821" s="102"/>
      <c r="AS821" s="102"/>
      <c r="AT821" s="102"/>
      <c r="AU821" s="102"/>
    </row>
    <row r="822" spans="1:47" s="78" customFormat="1" ht="12.6" customHeight="1" x14ac:dyDescent="0.3">
      <c r="A822" s="102"/>
      <c r="V822" s="102"/>
      <c r="W822" s="102"/>
      <c r="X822" s="102"/>
      <c r="Y822" s="102"/>
      <c r="Z822" s="102"/>
      <c r="AA822" s="102"/>
      <c r="AB822" s="102"/>
      <c r="AC822" s="102"/>
      <c r="AD822" s="102"/>
      <c r="AE822" s="102"/>
      <c r="AF822" s="102"/>
      <c r="AG822" s="102"/>
      <c r="AH822" s="102"/>
      <c r="AI822" s="102"/>
      <c r="AJ822" s="102"/>
      <c r="AK822" s="102"/>
      <c r="AL822" s="102"/>
      <c r="AM822" s="102"/>
      <c r="AN822" s="102"/>
      <c r="AO822" s="102"/>
      <c r="AP822" s="102"/>
      <c r="AQ822" s="102"/>
      <c r="AR822" s="102"/>
      <c r="AS822" s="102"/>
      <c r="AT822" s="102"/>
      <c r="AU822" s="102"/>
    </row>
    <row r="823" spans="1:47" s="78" customFormat="1" ht="12.6" customHeight="1" x14ac:dyDescent="0.3">
      <c r="A823" s="102"/>
      <c r="V823" s="102"/>
      <c r="W823" s="102"/>
      <c r="X823" s="102"/>
      <c r="Y823" s="102"/>
      <c r="Z823" s="102"/>
      <c r="AA823" s="102"/>
      <c r="AB823" s="102"/>
      <c r="AC823" s="102"/>
      <c r="AD823" s="102"/>
      <c r="AE823" s="102"/>
      <c r="AF823" s="102"/>
      <c r="AG823" s="102"/>
      <c r="AH823" s="102"/>
      <c r="AI823" s="102"/>
      <c r="AJ823" s="102"/>
      <c r="AK823" s="102"/>
      <c r="AL823" s="102"/>
      <c r="AM823" s="102"/>
      <c r="AN823" s="102"/>
      <c r="AO823" s="102"/>
      <c r="AP823" s="102"/>
      <c r="AQ823" s="102"/>
      <c r="AR823" s="102"/>
      <c r="AS823" s="102"/>
      <c r="AT823" s="102"/>
      <c r="AU823" s="102"/>
    </row>
    <row r="824" spans="1:47" s="78" customFormat="1" ht="12.6" customHeight="1" x14ac:dyDescent="0.3">
      <c r="A824" s="102"/>
      <c r="V824" s="102"/>
      <c r="W824" s="102"/>
      <c r="X824" s="102"/>
      <c r="Y824" s="102"/>
      <c r="Z824" s="102"/>
      <c r="AA824" s="102"/>
      <c r="AB824" s="102"/>
      <c r="AC824" s="102"/>
      <c r="AD824" s="102"/>
      <c r="AE824" s="102"/>
      <c r="AF824" s="102"/>
      <c r="AG824" s="102"/>
      <c r="AH824" s="102"/>
      <c r="AI824" s="102"/>
      <c r="AJ824" s="102"/>
      <c r="AK824" s="102"/>
      <c r="AL824" s="102"/>
      <c r="AM824" s="102"/>
      <c r="AN824" s="102"/>
      <c r="AO824" s="102"/>
      <c r="AP824" s="102"/>
      <c r="AQ824" s="102"/>
      <c r="AR824" s="102"/>
      <c r="AS824" s="102"/>
      <c r="AT824" s="102"/>
      <c r="AU824" s="102"/>
    </row>
    <row r="825" spans="1:47" s="78" customFormat="1" ht="12.6" customHeight="1" x14ac:dyDescent="0.3">
      <c r="A825" s="102"/>
      <c r="V825" s="102"/>
      <c r="W825" s="102"/>
      <c r="X825" s="102"/>
      <c r="Y825" s="102"/>
      <c r="Z825" s="102"/>
      <c r="AA825" s="102"/>
      <c r="AB825" s="102"/>
      <c r="AC825" s="102"/>
      <c r="AD825" s="102"/>
      <c r="AE825" s="102"/>
      <c r="AF825" s="102"/>
      <c r="AG825" s="102"/>
      <c r="AH825" s="102"/>
      <c r="AI825" s="102"/>
      <c r="AJ825" s="102"/>
      <c r="AK825" s="102"/>
      <c r="AL825" s="102"/>
      <c r="AM825" s="102"/>
      <c r="AN825" s="102"/>
      <c r="AO825" s="102"/>
      <c r="AP825" s="102"/>
      <c r="AQ825" s="102"/>
      <c r="AR825" s="102"/>
      <c r="AS825" s="102"/>
      <c r="AT825" s="102"/>
      <c r="AU825" s="102"/>
    </row>
    <row r="826" spans="1:47" s="78" customFormat="1" ht="12.6" customHeight="1" x14ac:dyDescent="0.3">
      <c r="A826" s="102"/>
      <c r="V826" s="102"/>
      <c r="W826" s="102"/>
      <c r="X826" s="102"/>
      <c r="Y826" s="102"/>
      <c r="Z826" s="102"/>
      <c r="AA826" s="102"/>
      <c r="AB826" s="102"/>
      <c r="AC826" s="102"/>
      <c r="AD826" s="102"/>
      <c r="AE826" s="102"/>
      <c r="AF826" s="102"/>
      <c r="AG826" s="102"/>
      <c r="AH826" s="102"/>
      <c r="AI826" s="102"/>
      <c r="AJ826" s="102"/>
      <c r="AK826" s="102"/>
      <c r="AL826" s="102"/>
      <c r="AM826" s="102"/>
      <c r="AN826" s="102"/>
      <c r="AO826" s="102"/>
      <c r="AP826" s="102"/>
      <c r="AQ826" s="102"/>
      <c r="AR826" s="102"/>
      <c r="AS826" s="102"/>
      <c r="AT826" s="102"/>
      <c r="AU826" s="102"/>
    </row>
    <row r="827" spans="1:47" s="78" customFormat="1" ht="12.6" customHeight="1" x14ac:dyDescent="0.3">
      <c r="A827" s="102"/>
      <c r="V827" s="102"/>
      <c r="W827" s="102"/>
      <c r="X827" s="102"/>
      <c r="Y827" s="102"/>
      <c r="Z827" s="102"/>
      <c r="AA827" s="102"/>
      <c r="AB827" s="102"/>
      <c r="AC827" s="102"/>
      <c r="AD827" s="102"/>
      <c r="AE827" s="102"/>
      <c r="AF827" s="102"/>
      <c r="AG827" s="102"/>
      <c r="AH827" s="102"/>
      <c r="AI827" s="102"/>
      <c r="AJ827" s="102"/>
      <c r="AK827" s="102"/>
      <c r="AL827" s="102"/>
      <c r="AM827" s="102"/>
      <c r="AN827" s="102"/>
      <c r="AO827" s="102"/>
      <c r="AP827" s="102"/>
      <c r="AQ827" s="102"/>
      <c r="AR827" s="102"/>
      <c r="AS827" s="102"/>
      <c r="AT827" s="102"/>
      <c r="AU827" s="102"/>
    </row>
    <row r="828" spans="1:47" s="78" customFormat="1" ht="12.6" customHeight="1" x14ac:dyDescent="0.3">
      <c r="A828" s="102"/>
      <c r="V828" s="102"/>
      <c r="W828" s="102"/>
      <c r="X828" s="102"/>
      <c r="Y828" s="102"/>
      <c r="Z828" s="102"/>
      <c r="AA828" s="102"/>
      <c r="AB828" s="102"/>
      <c r="AC828" s="102"/>
      <c r="AD828" s="102"/>
      <c r="AE828" s="102"/>
      <c r="AF828" s="102"/>
      <c r="AG828" s="102"/>
      <c r="AH828" s="102"/>
      <c r="AI828" s="102"/>
      <c r="AJ828" s="102"/>
      <c r="AK828" s="102"/>
      <c r="AL828" s="102"/>
      <c r="AM828" s="102"/>
      <c r="AN828" s="102"/>
      <c r="AO828" s="102"/>
      <c r="AP828" s="102"/>
      <c r="AQ828" s="102"/>
      <c r="AR828" s="102"/>
      <c r="AS828" s="102"/>
      <c r="AT828" s="102"/>
      <c r="AU828" s="102"/>
    </row>
    <row r="829" spans="1:47" s="78" customFormat="1" ht="12.6" customHeight="1" x14ac:dyDescent="0.3">
      <c r="A829" s="102"/>
      <c r="V829" s="102"/>
      <c r="W829" s="102"/>
      <c r="X829" s="102"/>
      <c r="Y829" s="102"/>
      <c r="Z829" s="102"/>
      <c r="AA829" s="102"/>
      <c r="AB829" s="102"/>
      <c r="AC829" s="102"/>
      <c r="AD829" s="102"/>
      <c r="AE829" s="102"/>
      <c r="AF829" s="102"/>
      <c r="AG829" s="102"/>
      <c r="AH829" s="102"/>
      <c r="AI829" s="102"/>
      <c r="AJ829" s="102"/>
      <c r="AK829" s="102"/>
      <c r="AL829" s="102"/>
      <c r="AM829" s="102"/>
      <c r="AN829" s="102"/>
      <c r="AO829" s="102"/>
      <c r="AP829" s="102"/>
      <c r="AQ829" s="102"/>
      <c r="AR829" s="102"/>
      <c r="AS829" s="102"/>
      <c r="AT829" s="102"/>
      <c r="AU829" s="102"/>
    </row>
    <row r="830" spans="1:47" s="78" customFormat="1" ht="12.6" customHeight="1" x14ac:dyDescent="0.3">
      <c r="A830" s="102"/>
      <c r="V830" s="102"/>
      <c r="W830" s="102"/>
      <c r="X830" s="102"/>
      <c r="Y830" s="102"/>
      <c r="Z830" s="102"/>
      <c r="AA830" s="102"/>
      <c r="AB830" s="102"/>
      <c r="AC830" s="102"/>
      <c r="AD830" s="102"/>
      <c r="AE830" s="102"/>
      <c r="AF830" s="102"/>
      <c r="AG830" s="102"/>
      <c r="AH830" s="102"/>
      <c r="AI830" s="102"/>
      <c r="AJ830" s="102"/>
      <c r="AK830" s="102"/>
      <c r="AL830" s="102"/>
      <c r="AM830" s="102"/>
      <c r="AN830" s="102"/>
      <c r="AO830" s="102"/>
      <c r="AP830" s="102"/>
      <c r="AQ830" s="102"/>
      <c r="AR830" s="102"/>
      <c r="AS830" s="102"/>
      <c r="AT830" s="102"/>
      <c r="AU830" s="102"/>
    </row>
    <row r="831" spans="1:47" s="78" customFormat="1" ht="12.6" customHeight="1" x14ac:dyDescent="0.3">
      <c r="A831" s="102"/>
      <c r="V831" s="102"/>
      <c r="W831" s="102"/>
      <c r="X831" s="102"/>
      <c r="Y831" s="102"/>
      <c r="Z831" s="102"/>
      <c r="AA831" s="102"/>
      <c r="AB831" s="102"/>
      <c r="AC831" s="102"/>
      <c r="AD831" s="102"/>
      <c r="AE831" s="102"/>
      <c r="AF831" s="102"/>
      <c r="AG831" s="102"/>
      <c r="AH831" s="102"/>
      <c r="AI831" s="102"/>
      <c r="AJ831" s="102"/>
      <c r="AK831" s="102"/>
      <c r="AL831" s="102"/>
      <c r="AM831" s="102"/>
      <c r="AN831" s="102"/>
      <c r="AO831" s="102"/>
      <c r="AP831" s="102"/>
      <c r="AQ831" s="102"/>
      <c r="AR831" s="102"/>
      <c r="AS831" s="102"/>
      <c r="AT831" s="102"/>
      <c r="AU831" s="102"/>
    </row>
    <row r="832" spans="1:47" s="78" customFormat="1" ht="12.6" customHeight="1" x14ac:dyDescent="0.3">
      <c r="A832" s="102"/>
      <c r="V832" s="102"/>
      <c r="W832" s="102"/>
      <c r="X832" s="102"/>
      <c r="Y832" s="102"/>
      <c r="Z832" s="102"/>
      <c r="AA832" s="102"/>
      <c r="AB832" s="102"/>
      <c r="AC832" s="102"/>
      <c r="AD832" s="102"/>
      <c r="AE832" s="102"/>
      <c r="AF832" s="102"/>
      <c r="AG832" s="102"/>
      <c r="AH832" s="102"/>
      <c r="AI832" s="102"/>
      <c r="AJ832" s="102"/>
      <c r="AK832" s="102"/>
      <c r="AL832" s="102"/>
      <c r="AM832" s="102"/>
      <c r="AN832" s="102"/>
      <c r="AO832" s="102"/>
      <c r="AP832" s="102"/>
      <c r="AQ832" s="102"/>
      <c r="AR832" s="102"/>
      <c r="AS832" s="102"/>
      <c r="AT832" s="102"/>
      <c r="AU832" s="102"/>
    </row>
    <row r="833" spans="1:47" s="78" customFormat="1" ht="12.6" customHeight="1" x14ac:dyDescent="0.3">
      <c r="A833" s="102"/>
      <c r="V833" s="102"/>
      <c r="W833" s="102"/>
      <c r="X833" s="102"/>
      <c r="Y833" s="102"/>
      <c r="Z833" s="102"/>
      <c r="AA833" s="102"/>
      <c r="AB833" s="102"/>
      <c r="AC833" s="102"/>
      <c r="AD833" s="102"/>
      <c r="AE833" s="102"/>
      <c r="AF833" s="102"/>
      <c r="AG833" s="102"/>
      <c r="AH833" s="102"/>
      <c r="AI833" s="102"/>
      <c r="AJ833" s="102"/>
      <c r="AK833" s="102"/>
      <c r="AL833" s="102"/>
      <c r="AM833" s="102"/>
      <c r="AN833" s="102"/>
      <c r="AO833" s="102"/>
      <c r="AP833" s="102"/>
      <c r="AQ833" s="102"/>
      <c r="AR833" s="102"/>
      <c r="AS833" s="102"/>
      <c r="AT833" s="102"/>
      <c r="AU833" s="102"/>
    </row>
    <row r="834" spans="1:47" s="78" customFormat="1" ht="12.6" customHeight="1" x14ac:dyDescent="0.3">
      <c r="A834" s="102"/>
      <c r="V834" s="102"/>
      <c r="W834" s="102"/>
      <c r="X834" s="102"/>
      <c r="Y834" s="102"/>
      <c r="Z834" s="102"/>
      <c r="AA834" s="102"/>
      <c r="AB834" s="102"/>
      <c r="AC834" s="102"/>
      <c r="AD834" s="102"/>
      <c r="AE834" s="102"/>
      <c r="AF834" s="102"/>
      <c r="AG834" s="102"/>
      <c r="AH834" s="102"/>
      <c r="AI834" s="102"/>
      <c r="AJ834" s="102"/>
      <c r="AK834" s="102"/>
      <c r="AL834" s="102"/>
      <c r="AM834" s="102"/>
      <c r="AN834" s="102"/>
      <c r="AO834" s="102"/>
      <c r="AP834" s="102"/>
      <c r="AQ834" s="102"/>
      <c r="AR834" s="102"/>
      <c r="AS834" s="102"/>
      <c r="AT834" s="102"/>
      <c r="AU834" s="102"/>
    </row>
    <row r="835" spans="1:47" s="78" customFormat="1" ht="12.6" customHeight="1" x14ac:dyDescent="0.3">
      <c r="A835" s="102"/>
      <c r="V835" s="102"/>
      <c r="W835" s="102"/>
      <c r="X835" s="102"/>
      <c r="Y835" s="102"/>
      <c r="Z835" s="102"/>
      <c r="AA835" s="102"/>
      <c r="AB835" s="102"/>
      <c r="AC835" s="102"/>
      <c r="AD835" s="102"/>
      <c r="AE835" s="102"/>
      <c r="AF835" s="102"/>
      <c r="AG835" s="102"/>
      <c r="AH835" s="102"/>
      <c r="AI835" s="102"/>
      <c r="AJ835" s="102"/>
      <c r="AK835" s="102"/>
      <c r="AL835" s="102"/>
      <c r="AM835" s="102"/>
      <c r="AN835" s="102"/>
      <c r="AO835" s="102"/>
      <c r="AP835" s="102"/>
      <c r="AQ835" s="102"/>
      <c r="AR835" s="102"/>
      <c r="AS835" s="102"/>
      <c r="AT835" s="102"/>
      <c r="AU835" s="102"/>
    </row>
    <row r="836" spans="1:47" s="78" customFormat="1" ht="12.6" customHeight="1" x14ac:dyDescent="0.3">
      <c r="A836" s="102"/>
      <c r="V836" s="102"/>
      <c r="W836" s="102"/>
      <c r="X836" s="102"/>
      <c r="Y836" s="102"/>
      <c r="Z836" s="102"/>
      <c r="AA836" s="102"/>
      <c r="AB836" s="102"/>
      <c r="AC836" s="102"/>
      <c r="AD836" s="102"/>
      <c r="AE836" s="102"/>
      <c r="AF836" s="102"/>
      <c r="AG836" s="102"/>
      <c r="AH836" s="102"/>
      <c r="AI836" s="102"/>
      <c r="AJ836" s="102"/>
      <c r="AK836" s="102"/>
      <c r="AL836" s="102"/>
      <c r="AM836" s="102"/>
      <c r="AN836" s="102"/>
      <c r="AO836" s="102"/>
      <c r="AP836" s="102"/>
      <c r="AQ836" s="102"/>
      <c r="AR836" s="102"/>
      <c r="AS836" s="102"/>
      <c r="AT836" s="102"/>
      <c r="AU836" s="102"/>
    </row>
    <row r="837" spans="1:47" s="78" customFormat="1" ht="12.6" customHeight="1" x14ac:dyDescent="0.3">
      <c r="A837" s="102"/>
      <c r="V837" s="102"/>
      <c r="W837" s="102"/>
      <c r="X837" s="102"/>
      <c r="Y837" s="102"/>
      <c r="Z837" s="102"/>
      <c r="AA837" s="102"/>
      <c r="AB837" s="102"/>
      <c r="AC837" s="102"/>
      <c r="AD837" s="102"/>
      <c r="AE837" s="102"/>
      <c r="AF837" s="102"/>
      <c r="AG837" s="102"/>
      <c r="AH837" s="102"/>
      <c r="AI837" s="102"/>
      <c r="AJ837" s="102"/>
      <c r="AK837" s="102"/>
      <c r="AL837" s="102"/>
      <c r="AM837" s="102"/>
      <c r="AN837" s="102"/>
      <c r="AO837" s="102"/>
      <c r="AP837" s="102"/>
      <c r="AQ837" s="102"/>
      <c r="AR837" s="102"/>
      <c r="AS837" s="102"/>
      <c r="AT837" s="102"/>
      <c r="AU837" s="102"/>
    </row>
    <row r="838" spans="1:47" s="78" customFormat="1" ht="12.6" customHeight="1" x14ac:dyDescent="0.3">
      <c r="A838" s="102"/>
      <c r="V838" s="102"/>
      <c r="W838" s="102"/>
      <c r="X838" s="102"/>
      <c r="Y838" s="102"/>
      <c r="Z838" s="102"/>
      <c r="AA838" s="102"/>
      <c r="AB838" s="102"/>
      <c r="AC838" s="102"/>
      <c r="AD838" s="102"/>
      <c r="AE838" s="102"/>
      <c r="AF838" s="102"/>
      <c r="AG838" s="102"/>
      <c r="AH838" s="102"/>
      <c r="AI838" s="102"/>
      <c r="AJ838" s="102"/>
      <c r="AK838" s="102"/>
      <c r="AL838" s="102"/>
      <c r="AM838" s="102"/>
      <c r="AN838" s="102"/>
      <c r="AO838" s="102"/>
      <c r="AP838" s="102"/>
      <c r="AQ838" s="102"/>
      <c r="AR838" s="102"/>
      <c r="AS838" s="102"/>
      <c r="AT838" s="102"/>
      <c r="AU838" s="102"/>
    </row>
    <row r="839" spans="1:47" s="78" customFormat="1" ht="12.6" customHeight="1" x14ac:dyDescent="0.3">
      <c r="A839" s="102"/>
      <c r="V839" s="102"/>
      <c r="W839" s="102"/>
      <c r="X839" s="102"/>
      <c r="Y839" s="102"/>
      <c r="Z839" s="102"/>
      <c r="AA839" s="102"/>
      <c r="AB839" s="102"/>
      <c r="AC839" s="102"/>
      <c r="AD839" s="102"/>
      <c r="AE839" s="102"/>
      <c r="AF839" s="102"/>
      <c r="AG839" s="102"/>
      <c r="AH839" s="102"/>
      <c r="AI839" s="102"/>
      <c r="AJ839" s="102"/>
      <c r="AK839" s="102"/>
      <c r="AL839" s="102"/>
      <c r="AM839" s="102"/>
      <c r="AN839" s="102"/>
      <c r="AO839" s="102"/>
      <c r="AP839" s="102"/>
      <c r="AQ839" s="102"/>
      <c r="AR839" s="102"/>
      <c r="AS839" s="102"/>
      <c r="AT839" s="102"/>
      <c r="AU839" s="102"/>
    </row>
    <row r="840" spans="1:47" s="78" customFormat="1" ht="12.6" customHeight="1" x14ac:dyDescent="0.3">
      <c r="A840" s="102"/>
      <c r="V840" s="102"/>
      <c r="W840" s="102"/>
      <c r="X840" s="102"/>
      <c r="Y840" s="102"/>
      <c r="Z840" s="102"/>
      <c r="AA840" s="102"/>
      <c r="AB840" s="102"/>
      <c r="AC840" s="102"/>
      <c r="AD840" s="102"/>
      <c r="AE840" s="102"/>
      <c r="AF840" s="102"/>
      <c r="AG840" s="102"/>
      <c r="AH840" s="102"/>
      <c r="AI840" s="102"/>
      <c r="AJ840" s="102"/>
      <c r="AK840" s="102"/>
      <c r="AL840" s="102"/>
      <c r="AM840" s="102"/>
      <c r="AN840" s="102"/>
      <c r="AO840" s="102"/>
      <c r="AP840" s="102"/>
      <c r="AQ840" s="102"/>
      <c r="AR840" s="102"/>
      <c r="AS840" s="102"/>
      <c r="AT840" s="102"/>
      <c r="AU840" s="102"/>
    </row>
    <row r="841" spans="1:47" s="78" customFormat="1" ht="12.6" customHeight="1" x14ac:dyDescent="0.3">
      <c r="A841" s="102"/>
      <c r="V841" s="102"/>
      <c r="W841" s="102"/>
      <c r="X841" s="102"/>
      <c r="Y841" s="102"/>
      <c r="Z841" s="102"/>
      <c r="AA841" s="102"/>
      <c r="AB841" s="102"/>
      <c r="AC841" s="102"/>
      <c r="AD841" s="102"/>
      <c r="AE841" s="102"/>
      <c r="AF841" s="102"/>
      <c r="AG841" s="102"/>
      <c r="AH841" s="102"/>
      <c r="AI841" s="102"/>
      <c r="AJ841" s="102"/>
      <c r="AK841" s="102"/>
      <c r="AL841" s="102"/>
      <c r="AM841" s="102"/>
      <c r="AN841" s="102"/>
      <c r="AO841" s="102"/>
      <c r="AP841" s="102"/>
      <c r="AQ841" s="102"/>
      <c r="AR841" s="102"/>
      <c r="AS841" s="102"/>
      <c r="AT841" s="102"/>
      <c r="AU841" s="102"/>
    </row>
    <row r="842" spans="1:47" s="78" customFormat="1" ht="12.6" customHeight="1" x14ac:dyDescent="0.3">
      <c r="A842" s="102"/>
      <c r="V842" s="102"/>
      <c r="W842" s="102"/>
      <c r="X842" s="102"/>
      <c r="Y842" s="102"/>
      <c r="Z842" s="102"/>
      <c r="AA842" s="102"/>
      <c r="AB842" s="102"/>
      <c r="AC842" s="102"/>
      <c r="AD842" s="102"/>
      <c r="AE842" s="102"/>
      <c r="AF842" s="102"/>
      <c r="AG842" s="102"/>
      <c r="AH842" s="102"/>
      <c r="AI842" s="102"/>
      <c r="AJ842" s="102"/>
      <c r="AK842" s="102"/>
      <c r="AL842" s="102"/>
      <c r="AM842" s="102"/>
      <c r="AN842" s="102"/>
      <c r="AO842" s="102"/>
      <c r="AP842" s="102"/>
      <c r="AQ842" s="102"/>
      <c r="AR842" s="102"/>
      <c r="AS842" s="102"/>
      <c r="AT842" s="102"/>
      <c r="AU842" s="102"/>
    </row>
    <row r="843" spans="1:47" s="78" customFormat="1" ht="12.6" customHeight="1" x14ac:dyDescent="0.3">
      <c r="A843" s="102"/>
      <c r="V843" s="102"/>
      <c r="W843" s="102"/>
      <c r="X843" s="102"/>
      <c r="Y843" s="102"/>
      <c r="Z843" s="102"/>
      <c r="AA843" s="102"/>
      <c r="AB843" s="102"/>
      <c r="AC843" s="102"/>
      <c r="AD843" s="102"/>
      <c r="AE843" s="102"/>
      <c r="AF843" s="102"/>
      <c r="AG843" s="102"/>
      <c r="AH843" s="102"/>
      <c r="AI843" s="102"/>
      <c r="AJ843" s="102"/>
      <c r="AK843" s="102"/>
      <c r="AL843" s="102"/>
      <c r="AM843" s="102"/>
      <c r="AN843" s="102"/>
      <c r="AO843" s="102"/>
      <c r="AP843" s="102"/>
      <c r="AQ843" s="102"/>
      <c r="AR843" s="102"/>
      <c r="AS843" s="102"/>
      <c r="AT843" s="102"/>
      <c r="AU843" s="102"/>
    </row>
    <row r="844" spans="1:47" s="78" customFormat="1" ht="12.6" customHeight="1" x14ac:dyDescent="0.3">
      <c r="A844" s="102"/>
      <c r="V844" s="102"/>
      <c r="W844" s="102"/>
      <c r="X844" s="102"/>
      <c r="Y844" s="102"/>
      <c r="Z844" s="102"/>
      <c r="AA844" s="102"/>
      <c r="AB844" s="102"/>
      <c r="AC844" s="102"/>
      <c r="AD844" s="102"/>
      <c r="AE844" s="102"/>
      <c r="AF844" s="102"/>
      <c r="AG844" s="102"/>
      <c r="AH844" s="102"/>
      <c r="AI844" s="102"/>
      <c r="AJ844" s="102"/>
      <c r="AK844" s="102"/>
      <c r="AL844" s="102"/>
      <c r="AM844" s="102"/>
      <c r="AN844" s="102"/>
      <c r="AO844" s="102"/>
      <c r="AP844" s="102"/>
      <c r="AQ844" s="102"/>
      <c r="AR844" s="102"/>
      <c r="AS844" s="102"/>
      <c r="AT844" s="102"/>
      <c r="AU844" s="102"/>
    </row>
    <row r="845" spans="1:47" s="78" customFormat="1" ht="12.6" customHeight="1" x14ac:dyDescent="0.3">
      <c r="A845" s="102"/>
      <c r="V845" s="102"/>
      <c r="W845" s="102"/>
      <c r="X845" s="102"/>
      <c r="Y845" s="102"/>
      <c r="Z845" s="102"/>
      <c r="AA845" s="102"/>
      <c r="AB845" s="102"/>
      <c r="AC845" s="102"/>
      <c r="AD845" s="102"/>
      <c r="AE845" s="102"/>
      <c r="AF845" s="102"/>
      <c r="AG845" s="102"/>
      <c r="AH845" s="102"/>
      <c r="AI845" s="102"/>
      <c r="AJ845" s="102"/>
      <c r="AK845" s="102"/>
      <c r="AL845" s="102"/>
      <c r="AM845" s="102"/>
      <c r="AN845" s="102"/>
      <c r="AO845" s="102"/>
      <c r="AP845" s="102"/>
      <c r="AQ845" s="102"/>
      <c r="AR845" s="102"/>
      <c r="AS845" s="102"/>
      <c r="AT845" s="102"/>
      <c r="AU845" s="102"/>
    </row>
    <row r="846" spans="1:47" s="78" customFormat="1" ht="12.6" customHeight="1" x14ac:dyDescent="0.3">
      <c r="A846" s="102"/>
      <c r="V846" s="102"/>
      <c r="W846" s="102"/>
      <c r="X846" s="102"/>
      <c r="Y846" s="102"/>
      <c r="Z846" s="102"/>
      <c r="AA846" s="102"/>
      <c r="AB846" s="102"/>
      <c r="AC846" s="102"/>
      <c r="AD846" s="102"/>
      <c r="AE846" s="102"/>
      <c r="AF846" s="102"/>
      <c r="AG846" s="102"/>
      <c r="AH846" s="102"/>
      <c r="AI846" s="102"/>
      <c r="AJ846" s="102"/>
      <c r="AK846" s="102"/>
      <c r="AL846" s="102"/>
      <c r="AM846" s="102"/>
      <c r="AN846" s="102"/>
      <c r="AO846" s="102"/>
      <c r="AP846" s="102"/>
      <c r="AQ846" s="102"/>
      <c r="AR846" s="102"/>
      <c r="AS846" s="102"/>
      <c r="AT846" s="102"/>
      <c r="AU846" s="102"/>
    </row>
    <row r="847" spans="1:47" s="78" customFormat="1" ht="12.6" customHeight="1" x14ac:dyDescent="0.3">
      <c r="A847" s="102"/>
      <c r="V847" s="102"/>
      <c r="W847" s="102"/>
      <c r="X847" s="102"/>
      <c r="Y847" s="102"/>
      <c r="Z847" s="102"/>
      <c r="AA847" s="102"/>
      <c r="AB847" s="102"/>
      <c r="AC847" s="102"/>
      <c r="AD847" s="102"/>
      <c r="AE847" s="102"/>
      <c r="AF847" s="102"/>
      <c r="AG847" s="102"/>
      <c r="AH847" s="102"/>
      <c r="AI847" s="102"/>
      <c r="AJ847" s="102"/>
      <c r="AK847" s="102"/>
      <c r="AL847" s="102"/>
      <c r="AM847" s="102"/>
      <c r="AN847" s="102"/>
      <c r="AO847" s="102"/>
      <c r="AP847" s="102"/>
      <c r="AQ847" s="102"/>
      <c r="AR847" s="102"/>
      <c r="AS847" s="102"/>
      <c r="AT847" s="102"/>
      <c r="AU847" s="102"/>
    </row>
    <row r="848" spans="1:47" s="78" customFormat="1" ht="12.6" customHeight="1" x14ac:dyDescent="0.3">
      <c r="A848" s="102"/>
      <c r="V848" s="102"/>
      <c r="W848" s="102"/>
      <c r="X848" s="102"/>
      <c r="Y848" s="102"/>
      <c r="Z848" s="102"/>
      <c r="AA848" s="102"/>
      <c r="AB848" s="102"/>
      <c r="AC848" s="102"/>
      <c r="AD848" s="102"/>
      <c r="AE848" s="102"/>
      <c r="AF848" s="102"/>
      <c r="AG848" s="102"/>
      <c r="AH848" s="102"/>
      <c r="AI848" s="102"/>
      <c r="AJ848" s="102"/>
      <c r="AK848" s="102"/>
      <c r="AL848" s="102"/>
      <c r="AM848" s="102"/>
      <c r="AN848" s="102"/>
      <c r="AO848" s="102"/>
      <c r="AP848" s="102"/>
      <c r="AQ848" s="102"/>
      <c r="AR848" s="102"/>
      <c r="AS848" s="102"/>
      <c r="AT848" s="102"/>
      <c r="AU848" s="102"/>
    </row>
    <row r="849" spans="1:47" s="78" customFormat="1" ht="12.6" customHeight="1" x14ac:dyDescent="0.3">
      <c r="A849" s="102"/>
      <c r="V849" s="102"/>
      <c r="W849" s="102"/>
      <c r="X849" s="102"/>
      <c r="Y849" s="102"/>
      <c r="Z849" s="102"/>
      <c r="AA849" s="102"/>
      <c r="AB849" s="102"/>
      <c r="AC849" s="102"/>
      <c r="AD849" s="102"/>
      <c r="AE849" s="102"/>
      <c r="AF849" s="102"/>
      <c r="AG849" s="102"/>
      <c r="AH849" s="102"/>
      <c r="AI849" s="102"/>
      <c r="AJ849" s="102"/>
      <c r="AK849" s="102"/>
      <c r="AL849" s="102"/>
      <c r="AM849" s="102"/>
      <c r="AN849" s="102"/>
      <c r="AO849" s="102"/>
      <c r="AP849" s="102"/>
      <c r="AQ849" s="102"/>
      <c r="AR849" s="102"/>
      <c r="AS849" s="102"/>
      <c r="AT849" s="102"/>
      <c r="AU849" s="102"/>
    </row>
    <row r="850" spans="1:47" s="78" customFormat="1" ht="12.6" customHeight="1" x14ac:dyDescent="0.3">
      <c r="A850" s="102"/>
      <c r="V850" s="102"/>
      <c r="W850" s="102"/>
      <c r="X850" s="102"/>
      <c r="Y850" s="102"/>
      <c r="Z850" s="102"/>
      <c r="AA850" s="102"/>
      <c r="AB850" s="102"/>
      <c r="AC850" s="102"/>
      <c r="AD850" s="102"/>
      <c r="AE850" s="102"/>
      <c r="AF850" s="102"/>
      <c r="AG850" s="102"/>
      <c r="AH850" s="102"/>
      <c r="AI850" s="102"/>
      <c r="AJ850" s="102"/>
      <c r="AK850" s="102"/>
      <c r="AL850" s="102"/>
      <c r="AM850" s="102"/>
      <c r="AN850" s="102"/>
      <c r="AO850" s="102"/>
      <c r="AP850" s="102"/>
      <c r="AQ850" s="102"/>
      <c r="AR850" s="102"/>
      <c r="AS850" s="102"/>
      <c r="AT850" s="102"/>
      <c r="AU850" s="102"/>
    </row>
    <row r="851" spans="1:47" s="78" customFormat="1" ht="12.6" customHeight="1" x14ac:dyDescent="0.3">
      <c r="A851" s="102"/>
      <c r="V851" s="102"/>
      <c r="W851" s="102"/>
      <c r="X851" s="102"/>
      <c r="Y851" s="102"/>
      <c r="Z851" s="102"/>
      <c r="AA851" s="102"/>
      <c r="AB851" s="102"/>
      <c r="AC851" s="102"/>
      <c r="AD851" s="102"/>
      <c r="AE851" s="102"/>
      <c r="AF851" s="102"/>
      <c r="AG851" s="102"/>
      <c r="AH851" s="102"/>
      <c r="AI851" s="102"/>
      <c r="AJ851" s="102"/>
      <c r="AK851" s="102"/>
      <c r="AL851" s="102"/>
      <c r="AM851" s="102"/>
      <c r="AN851" s="102"/>
      <c r="AO851" s="102"/>
      <c r="AP851" s="102"/>
      <c r="AQ851" s="102"/>
      <c r="AR851" s="102"/>
      <c r="AS851" s="102"/>
      <c r="AT851" s="102"/>
      <c r="AU851" s="102"/>
    </row>
    <row r="852" spans="1:47" s="78" customFormat="1" ht="12.6" customHeight="1" x14ac:dyDescent="0.3">
      <c r="A852" s="102"/>
      <c r="V852" s="102"/>
      <c r="W852" s="102"/>
      <c r="X852" s="102"/>
      <c r="Y852" s="102"/>
      <c r="Z852" s="102"/>
      <c r="AA852" s="102"/>
      <c r="AB852" s="102"/>
      <c r="AC852" s="102"/>
      <c r="AD852" s="102"/>
      <c r="AE852" s="102"/>
      <c r="AF852" s="102"/>
      <c r="AG852" s="102"/>
      <c r="AH852" s="102"/>
      <c r="AI852" s="102"/>
      <c r="AJ852" s="102"/>
      <c r="AK852" s="102"/>
      <c r="AL852" s="102"/>
      <c r="AM852" s="102"/>
      <c r="AN852" s="102"/>
      <c r="AO852" s="102"/>
      <c r="AP852" s="102"/>
      <c r="AQ852" s="102"/>
      <c r="AR852" s="102"/>
      <c r="AS852" s="102"/>
      <c r="AT852" s="102"/>
      <c r="AU852" s="102"/>
    </row>
    <row r="853" spans="1:47" s="78" customFormat="1" ht="12.6" customHeight="1" x14ac:dyDescent="0.3">
      <c r="A853" s="102"/>
      <c r="V853" s="102"/>
      <c r="W853" s="102"/>
      <c r="X853" s="102"/>
      <c r="Y853" s="102"/>
      <c r="Z853" s="102"/>
      <c r="AA853" s="102"/>
      <c r="AB853" s="102"/>
      <c r="AC853" s="102"/>
      <c r="AD853" s="102"/>
      <c r="AE853" s="102"/>
      <c r="AF853" s="102"/>
      <c r="AG853" s="102"/>
      <c r="AH853" s="102"/>
      <c r="AI853" s="102"/>
      <c r="AJ853" s="102"/>
      <c r="AK853" s="102"/>
      <c r="AL853" s="102"/>
      <c r="AM853" s="102"/>
      <c r="AN853" s="102"/>
      <c r="AO853" s="102"/>
      <c r="AP853" s="102"/>
      <c r="AQ853" s="102"/>
      <c r="AR853" s="102"/>
      <c r="AS853" s="102"/>
      <c r="AT853" s="102"/>
      <c r="AU853" s="102"/>
    </row>
    <row r="854" spans="1:47" s="78" customFormat="1" ht="12.6" customHeight="1" x14ac:dyDescent="0.3">
      <c r="A854" s="102"/>
      <c r="V854" s="102"/>
      <c r="W854" s="102"/>
      <c r="X854" s="102"/>
      <c r="Y854" s="102"/>
      <c r="Z854" s="102"/>
      <c r="AA854" s="102"/>
      <c r="AB854" s="102"/>
      <c r="AC854" s="102"/>
      <c r="AD854" s="102"/>
      <c r="AE854" s="102"/>
      <c r="AF854" s="102"/>
      <c r="AG854" s="102"/>
      <c r="AH854" s="102"/>
      <c r="AI854" s="102"/>
      <c r="AJ854" s="102"/>
      <c r="AK854" s="102"/>
      <c r="AL854" s="102"/>
      <c r="AM854" s="102"/>
      <c r="AN854" s="102"/>
      <c r="AO854" s="102"/>
      <c r="AP854" s="102"/>
      <c r="AQ854" s="102"/>
      <c r="AR854" s="102"/>
      <c r="AS854" s="102"/>
      <c r="AT854" s="102"/>
      <c r="AU854" s="102"/>
    </row>
    <row r="855" spans="1:47" s="78" customFormat="1" ht="12.6" customHeight="1" x14ac:dyDescent="0.3">
      <c r="A855" s="102"/>
      <c r="V855" s="102"/>
      <c r="W855" s="102"/>
      <c r="X855" s="102"/>
      <c r="Y855" s="102"/>
      <c r="Z855" s="102"/>
      <c r="AA855" s="102"/>
      <c r="AB855" s="102"/>
      <c r="AC855" s="102"/>
      <c r="AD855" s="102"/>
      <c r="AE855" s="102"/>
      <c r="AF855" s="102"/>
      <c r="AG855" s="102"/>
      <c r="AH855" s="102"/>
      <c r="AI855" s="102"/>
      <c r="AJ855" s="102"/>
      <c r="AK855" s="102"/>
      <c r="AL855" s="102"/>
      <c r="AM855" s="102"/>
      <c r="AN855" s="102"/>
      <c r="AO855" s="102"/>
      <c r="AP855" s="102"/>
      <c r="AQ855" s="102"/>
      <c r="AR855" s="102"/>
      <c r="AS855" s="102"/>
      <c r="AT855" s="102"/>
      <c r="AU855" s="102"/>
    </row>
    <row r="856" spans="1:47" s="78" customFormat="1" ht="12.6" customHeight="1" x14ac:dyDescent="0.3">
      <c r="A856" s="102"/>
      <c r="V856" s="102"/>
      <c r="W856" s="102"/>
      <c r="X856" s="102"/>
      <c r="Y856" s="102"/>
      <c r="Z856" s="102"/>
      <c r="AA856" s="102"/>
      <c r="AB856" s="102"/>
      <c r="AC856" s="102"/>
      <c r="AD856" s="102"/>
      <c r="AE856" s="102"/>
      <c r="AF856" s="102"/>
      <c r="AG856" s="102"/>
      <c r="AH856" s="102"/>
      <c r="AI856" s="102"/>
      <c r="AJ856" s="102"/>
      <c r="AK856" s="102"/>
      <c r="AL856" s="102"/>
      <c r="AM856" s="102"/>
      <c r="AN856" s="102"/>
      <c r="AO856" s="102"/>
      <c r="AP856" s="102"/>
      <c r="AQ856" s="102"/>
      <c r="AR856" s="102"/>
      <c r="AS856" s="102"/>
      <c r="AT856" s="102"/>
      <c r="AU856" s="102"/>
    </row>
    <row r="857" spans="1:47" s="78" customFormat="1" ht="12.6" customHeight="1" x14ac:dyDescent="0.3">
      <c r="A857" s="102"/>
      <c r="V857" s="102"/>
      <c r="W857" s="102"/>
      <c r="X857" s="102"/>
      <c r="Y857" s="102"/>
      <c r="Z857" s="102"/>
      <c r="AA857" s="102"/>
      <c r="AB857" s="102"/>
      <c r="AC857" s="102"/>
      <c r="AD857" s="102"/>
      <c r="AE857" s="102"/>
      <c r="AF857" s="102"/>
      <c r="AG857" s="102"/>
      <c r="AH857" s="102"/>
      <c r="AI857" s="102"/>
      <c r="AJ857" s="102"/>
      <c r="AK857" s="102"/>
      <c r="AL857" s="102"/>
      <c r="AM857" s="102"/>
      <c r="AN857" s="102"/>
      <c r="AO857" s="102"/>
      <c r="AP857" s="102"/>
      <c r="AQ857" s="102"/>
      <c r="AR857" s="102"/>
      <c r="AS857" s="102"/>
      <c r="AT857" s="102"/>
      <c r="AU857" s="102"/>
    </row>
    <row r="858" spans="1:47" s="78" customFormat="1" ht="12.6" customHeight="1" x14ac:dyDescent="0.3">
      <c r="A858" s="102"/>
      <c r="V858" s="102"/>
      <c r="W858" s="102"/>
      <c r="X858" s="102"/>
      <c r="Y858" s="102"/>
      <c r="Z858" s="102"/>
      <c r="AA858" s="102"/>
      <c r="AB858" s="102"/>
      <c r="AC858" s="102"/>
      <c r="AD858" s="102"/>
      <c r="AE858" s="102"/>
      <c r="AF858" s="102"/>
      <c r="AG858" s="102"/>
      <c r="AH858" s="102"/>
      <c r="AI858" s="102"/>
      <c r="AJ858" s="102"/>
      <c r="AK858" s="102"/>
      <c r="AL858" s="102"/>
      <c r="AM858" s="102"/>
      <c r="AN858" s="102"/>
      <c r="AO858" s="102"/>
      <c r="AP858" s="102"/>
      <c r="AQ858" s="102"/>
      <c r="AR858" s="102"/>
      <c r="AS858" s="102"/>
      <c r="AT858" s="102"/>
      <c r="AU858" s="102"/>
    </row>
    <row r="859" spans="1:47" s="78" customFormat="1" ht="12.6" customHeight="1" x14ac:dyDescent="0.3">
      <c r="A859" s="102"/>
      <c r="V859" s="102"/>
      <c r="W859" s="102"/>
      <c r="X859" s="102"/>
      <c r="Y859" s="102"/>
      <c r="Z859" s="102"/>
      <c r="AA859" s="102"/>
      <c r="AB859" s="102"/>
      <c r="AC859" s="102"/>
      <c r="AD859" s="102"/>
      <c r="AE859" s="102"/>
      <c r="AF859" s="102"/>
      <c r="AG859" s="102"/>
      <c r="AH859" s="102"/>
      <c r="AI859" s="102"/>
      <c r="AJ859" s="102"/>
      <c r="AK859" s="102"/>
      <c r="AL859" s="102"/>
      <c r="AM859" s="102"/>
      <c r="AN859" s="102"/>
      <c r="AO859" s="102"/>
      <c r="AP859" s="102"/>
      <c r="AQ859" s="102"/>
      <c r="AR859" s="102"/>
      <c r="AS859" s="102"/>
      <c r="AT859" s="102"/>
      <c r="AU859" s="102"/>
    </row>
    <row r="860" spans="1:47" s="78" customFormat="1" ht="12.6" customHeight="1" x14ac:dyDescent="0.3">
      <c r="A860" s="102"/>
      <c r="V860" s="102"/>
      <c r="W860" s="102"/>
      <c r="X860" s="102"/>
      <c r="Y860" s="102"/>
      <c r="Z860" s="102"/>
      <c r="AA860" s="102"/>
      <c r="AB860" s="102"/>
      <c r="AC860" s="102"/>
      <c r="AD860" s="102"/>
      <c r="AE860" s="102"/>
      <c r="AF860" s="102"/>
      <c r="AG860" s="102"/>
      <c r="AH860" s="102"/>
      <c r="AI860" s="102"/>
      <c r="AJ860" s="102"/>
      <c r="AK860" s="102"/>
      <c r="AL860" s="102"/>
      <c r="AM860" s="102"/>
      <c r="AN860" s="102"/>
      <c r="AO860" s="102"/>
      <c r="AP860" s="102"/>
      <c r="AQ860" s="102"/>
      <c r="AR860" s="102"/>
      <c r="AS860" s="102"/>
      <c r="AT860" s="102"/>
      <c r="AU860" s="102"/>
    </row>
    <row r="861" spans="1:47" s="78" customFormat="1" ht="12.6" customHeight="1" x14ac:dyDescent="0.3">
      <c r="A861" s="102"/>
      <c r="V861" s="102"/>
      <c r="W861" s="102"/>
      <c r="X861" s="102"/>
      <c r="Y861" s="102"/>
      <c r="Z861" s="102"/>
      <c r="AA861" s="102"/>
      <c r="AB861" s="102"/>
      <c r="AC861" s="102"/>
      <c r="AD861" s="102"/>
      <c r="AE861" s="102"/>
      <c r="AF861" s="102"/>
      <c r="AG861" s="102"/>
      <c r="AH861" s="102"/>
      <c r="AI861" s="102"/>
      <c r="AJ861" s="102"/>
      <c r="AK861" s="102"/>
      <c r="AL861" s="102"/>
      <c r="AM861" s="102"/>
      <c r="AN861" s="102"/>
      <c r="AO861" s="102"/>
      <c r="AP861" s="102"/>
      <c r="AQ861" s="102"/>
      <c r="AR861" s="102"/>
      <c r="AS861" s="102"/>
      <c r="AT861" s="102"/>
      <c r="AU861" s="102"/>
    </row>
    <row r="862" spans="1:47" s="78" customFormat="1" ht="12.6" customHeight="1" x14ac:dyDescent="0.3">
      <c r="A862" s="102"/>
      <c r="V862" s="102"/>
      <c r="W862" s="102"/>
      <c r="X862" s="102"/>
      <c r="Y862" s="102"/>
      <c r="Z862" s="102"/>
      <c r="AA862" s="102"/>
      <c r="AB862" s="102"/>
      <c r="AC862" s="102"/>
      <c r="AD862" s="102"/>
      <c r="AE862" s="102"/>
      <c r="AF862" s="102"/>
      <c r="AG862" s="102"/>
      <c r="AH862" s="102"/>
      <c r="AI862" s="102"/>
      <c r="AJ862" s="102"/>
      <c r="AK862" s="102"/>
      <c r="AL862" s="102"/>
      <c r="AM862" s="102"/>
      <c r="AN862" s="102"/>
      <c r="AO862" s="102"/>
      <c r="AP862" s="102"/>
      <c r="AQ862" s="102"/>
      <c r="AR862" s="102"/>
      <c r="AS862" s="102"/>
      <c r="AT862" s="102"/>
      <c r="AU862" s="102"/>
    </row>
    <row r="863" spans="1:47" s="78" customFormat="1" ht="12.6" customHeight="1" x14ac:dyDescent="0.3">
      <c r="A863" s="102"/>
      <c r="V863" s="102"/>
      <c r="W863" s="102"/>
      <c r="X863" s="102"/>
      <c r="Y863" s="102"/>
      <c r="Z863" s="102"/>
      <c r="AA863" s="102"/>
      <c r="AB863" s="102"/>
      <c r="AC863" s="102"/>
      <c r="AD863" s="102"/>
      <c r="AE863" s="102"/>
      <c r="AF863" s="102"/>
      <c r="AG863" s="102"/>
      <c r="AH863" s="102"/>
      <c r="AI863" s="102"/>
      <c r="AJ863" s="102"/>
      <c r="AK863" s="102"/>
      <c r="AL863" s="102"/>
      <c r="AM863" s="102"/>
      <c r="AN863" s="102"/>
      <c r="AO863" s="102"/>
      <c r="AP863" s="102"/>
      <c r="AQ863" s="102"/>
      <c r="AR863" s="102"/>
      <c r="AS863" s="102"/>
      <c r="AT863" s="102"/>
      <c r="AU863" s="102"/>
    </row>
    <row r="864" spans="1:47" s="78" customFormat="1" ht="12.6" customHeight="1" x14ac:dyDescent="0.3">
      <c r="A864" s="102"/>
      <c r="V864" s="102"/>
      <c r="W864" s="102"/>
      <c r="X864" s="102"/>
      <c r="Y864" s="102"/>
      <c r="Z864" s="102"/>
      <c r="AA864" s="102"/>
      <c r="AB864" s="102"/>
      <c r="AC864" s="102"/>
      <c r="AD864" s="102"/>
      <c r="AE864" s="102"/>
      <c r="AF864" s="102"/>
      <c r="AG864" s="102"/>
      <c r="AH864" s="102"/>
      <c r="AI864" s="102"/>
      <c r="AJ864" s="102"/>
      <c r="AK864" s="102"/>
      <c r="AL864" s="102"/>
      <c r="AM864" s="102"/>
      <c r="AN864" s="102"/>
      <c r="AO864" s="102"/>
      <c r="AP864" s="102"/>
      <c r="AQ864" s="102"/>
      <c r="AR864" s="102"/>
      <c r="AS864" s="102"/>
      <c r="AT864" s="102"/>
      <c r="AU864" s="102"/>
    </row>
    <row r="865" spans="1:47" s="78" customFormat="1" ht="12.6" customHeight="1" x14ac:dyDescent="0.3">
      <c r="A865" s="102"/>
      <c r="V865" s="102"/>
      <c r="W865" s="102"/>
      <c r="X865" s="102"/>
      <c r="Y865" s="102"/>
      <c r="Z865" s="102"/>
      <c r="AA865" s="102"/>
      <c r="AB865" s="102"/>
      <c r="AC865" s="102"/>
      <c r="AD865" s="102"/>
      <c r="AE865" s="102"/>
      <c r="AF865" s="102"/>
      <c r="AG865" s="102"/>
      <c r="AH865" s="102"/>
      <c r="AI865" s="102"/>
      <c r="AJ865" s="102"/>
      <c r="AK865" s="102"/>
      <c r="AL865" s="102"/>
      <c r="AM865" s="102"/>
      <c r="AN865" s="102"/>
      <c r="AO865" s="102"/>
      <c r="AP865" s="102"/>
      <c r="AQ865" s="102"/>
      <c r="AR865" s="102"/>
      <c r="AS865" s="102"/>
      <c r="AT865" s="102"/>
      <c r="AU865" s="102"/>
    </row>
    <row r="866" spans="1:47" s="78" customFormat="1" ht="12.6" customHeight="1" x14ac:dyDescent="0.3">
      <c r="A866" s="102"/>
      <c r="V866" s="102"/>
      <c r="W866" s="102"/>
      <c r="X866" s="102"/>
      <c r="Y866" s="102"/>
      <c r="Z866" s="102"/>
      <c r="AA866" s="102"/>
      <c r="AB866" s="102"/>
      <c r="AC866" s="102"/>
      <c r="AD866" s="102"/>
      <c r="AE866" s="102"/>
      <c r="AF866" s="102"/>
      <c r="AG866" s="102"/>
      <c r="AH866" s="102"/>
      <c r="AI866" s="102"/>
      <c r="AJ866" s="102"/>
      <c r="AK866" s="102"/>
      <c r="AL866" s="102"/>
      <c r="AM866" s="102"/>
      <c r="AN866" s="102"/>
      <c r="AO866" s="102"/>
      <c r="AP866" s="102"/>
      <c r="AQ866" s="102"/>
      <c r="AR866" s="102"/>
      <c r="AS866" s="102"/>
      <c r="AT866" s="102"/>
      <c r="AU866" s="102"/>
    </row>
    <row r="867" spans="1:47" s="78" customFormat="1" ht="12.6" customHeight="1" x14ac:dyDescent="0.3">
      <c r="A867" s="102"/>
      <c r="V867" s="102"/>
      <c r="W867" s="102"/>
      <c r="X867" s="102"/>
      <c r="Y867" s="102"/>
      <c r="Z867" s="102"/>
      <c r="AA867" s="102"/>
      <c r="AB867" s="102"/>
      <c r="AC867" s="102"/>
      <c r="AD867" s="102"/>
      <c r="AE867" s="102"/>
      <c r="AF867" s="102"/>
      <c r="AG867" s="102"/>
      <c r="AH867" s="102"/>
      <c r="AI867" s="102"/>
      <c r="AJ867" s="102"/>
      <c r="AK867" s="102"/>
      <c r="AL867" s="102"/>
      <c r="AM867" s="102"/>
      <c r="AN867" s="102"/>
      <c r="AO867" s="102"/>
      <c r="AP867" s="102"/>
      <c r="AQ867" s="102"/>
      <c r="AR867" s="102"/>
      <c r="AS867" s="102"/>
      <c r="AT867" s="102"/>
      <c r="AU867" s="102"/>
    </row>
    <row r="868" spans="1:47" s="78" customFormat="1" ht="12.6" customHeight="1" x14ac:dyDescent="0.3">
      <c r="A868" s="102"/>
      <c r="V868" s="102"/>
      <c r="W868" s="102"/>
      <c r="X868" s="102"/>
      <c r="Y868" s="102"/>
      <c r="Z868" s="102"/>
      <c r="AA868" s="102"/>
      <c r="AB868" s="102"/>
      <c r="AC868" s="102"/>
      <c r="AD868" s="102"/>
      <c r="AE868" s="102"/>
      <c r="AF868" s="102"/>
      <c r="AG868" s="102"/>
      <c r="AH868" s="102"/>
      <c r="AI868" s="102"/>
      <c r="AJ868" s="102"/>
      <c r="AK868" s="102"/>
      <c r="AL868" s="102"/>
      <c r="AM868" s="102"/>
      <c r="AN868" s="102"/>
      <c r="AO868" s="102"/>
      <c r="AP868" s="102"/>
      <c r="AQ868" s="102"/>
      <c r="AR868" s="102"/>
      <c r="AS868" s="102"/>
      <c r="AT868" s="102"/>
      <c r="AU868" s="102"/>
    </row>
    <row r="869" spans="1:47" s="78" customFormat="1" ht="12.6" customHeight="1" x14ac:dyDescent="0.3">
      <c r="A869" s="102"/>
      <c r="V869" s="102"/>
      <c r="W869" s="102"/>
      <c r="X869" s="102"/>
      <c r="Y869" s="102"/>
      <c r="Z869" s="102"/>
      <c r="AA869" s="102"/>
      <c r="AB869" s="102"/>
      <c r="AC869" s="102"/>
      <c r="AD869" s="102"/>
      <c r="AE869" s="102"/>
      <c r="AF869" s="102"/>
      <c r="AG869" s="102"/>
      <c r="AH869" s="102"/>
      <c r="AI869" s="102"/>
      <c r="AJ869" s="102"/>
      <c r="AK869" s="102"/>
      <c r="AL869" s="102"/>
      <c r="AM869" s="102"/>
      <c r="AN869" s="102"/>
      <c r="AO869" s="102"/>
      <c r="AP869" s="102"/>
      <c r="AQ869" s="102"/>
      <c r="AR869" s="102"/>
      <c r="AS869" s="102"/>
      <c r="AT869" s="102"/>
      <c r="AU869" s="102"/>
    </row>
    <row r="870" spans="1:47" s="78" customFormat="1" ht="12.6" customHeight="1" x14ac:dyDescent="0.3">
      <c r="A870" s="102"/>
      <c r="V870" s="102"/>
      <c r="W870" s="102"/>
      <c r="X870" s="102"/>
      <c r="Y870" s="102"/>
      <c r="Z870" s="102"/>
      <c r="AA870" s="102"/>
      <c r="AB870" s="102"/>
      <c r="AC870" s="102"/>
      <c r="AD870" s="102"/>
      <c r="AE870" s="102"/>
      <c r="AF870" s="102"/>
      <c r="AG870" s="102"/>
      <c r="AH870" s="102"/>
      <c r="AI870" s="102"/>
      <c r="AJ870" s="102"/>
      <c r="AK870" s="102"/>
      <c r="AL870" s="102"/>
      <c r="AM870" s="102"/>
      <c r="AN870" s="102"/>
      <c r="AO870" s="102"/>
      <c r="AP870" s="102"/>
      <c r="AQ870" s="102"/>
      <c r="AR870" s="102"/>
      <c r="AS870" s="102"/>
      <c r="AT870" s="102"/>
      <c r="AU870" s="102"/>
    </row>
    <row r="871" spans="1:47" s="78" customFormat="1" ht="12.6" customHeight="1" x14ac:dyDescent="0.3">
      <c r="A871" s="102"/>
      <c r="V871" s="102"/>
      <c r="W871" s="102"/>
      <c r="X871" s="102"/>
      <c r="Y871" s="102"/>
      <c r="Z871" s="102"/>
      <c r="AA871" s="102"/>
      <c r="AB871" s="102"/>
      <c r="AC871" s="102"/>
      <c r="AD871" s="102"/>
      <c r="AE871" s="102"/>
      <c r="AF871" s="102"/>
      <c r="AG871" s="102"/>
      <c r="AH871" s="102"/>
      <c r="AI871" s="102"/>
      <c r="AJ871" s="102"/>
      <c r="AK871" s="102"/>
      <c r="AL871" s="102"/>
      <c r="AM871" s="102"/>
      <c r="AN871" s="102"/>
      <c r="AO871" s="102"/>
      <c r="AP871" s="102"/>
      <c r="AQ871" s="102"/>
      <c r="AR871" s="102"/>
      <c r="AS871" s="102"/>
      <c r="AT871" s="102"/>
      <c r="AU871" s="102"/>
    </row>
    <row r="872" spans="1:47" s="78" customFormat="1" ht="12.6" customHeight="1" x14ac:dyDescent="0.3">
      <c r="A872" s="102"/>
      <c r="V872" s="102"/>
      <c r="W872" s="102"/>
      <c r="X872" s="102"/>
      <c r="Y872" s="102"/>
      <c r="Z872" s="102"/>
      <c r="AA872" s="102"/>
      <c r="AB872" s="102"/>
      <c r="AC872" s="102"/>
      <c r="AD872" s="102"/>
      <c r="AE872" s="102"/>
      <c r="AF872" s="102"/>
      <c r="AG872" s="102"/>
      <c r="AH872" s="102"/>
      <c r="AI872" s="102"/>
      <c r="AJ872" s="102"/>
      <c r="AK872" s="102"/>
      <c r="AL872" s="102"/>
      <c r="AM872" s="102"/>
      <c r="AN872" s="102"/>
      <c r="AO872" s="102"/>
      <c r="AP872" s="102"/>
      <c r="AQ872" s="102"/>
      <c r="AR872" s="102"/>
      <c r="AS872" s="102"/>
      <c r="AT872" s="102"/>
      <c r="AU872" s="102"/>
    </row>
    <row r="873" spans="1:47" s="78" customFormat="1" ht="12.6" customHeight="1" x14ac:dyDescent="0.3">
      <c r="A873" s="102"/>
      <c r="V873" s="102"/>
      <c r="W873" s="102"/>
      <c r="X873" s="102"/>
      <c r="Y873" s="102"/>
      <c r="Z873" s="102"/>
      <c r="AA873" s="102"/>
      <c r="AB873" s="102"/>
      <c r="AC873" s="102"/>
      <c r="AD873" s="102"/>
      <c r="AE873" s="102"/>
      <c r="AF873" s="102"/>
      <c r="AG873" s="102"/>
      <c r="AH873" s="102"/>
      <c r="AI873" s="102"/>
      <c r="AJ873" s="102"/>
      <c r="AK873" s="102"/>
      <c r="AL873" s="102"/>
      <c r="AM873" s="102"/>
      <c r="AN873" s="102"/>
      <c r="AO873" s="102"/>
      <c r="AP873" s="102"/>
      <c r="AQ873" s="102"/>
      <c r="AR873" s="102"/>
      <c r="AS873" s="102"/>
      <c r="AT873" s="102"/>
      <c r="AU873" s="102"/>
    </row>
    <row r="874" spans="1:47" s="78" customFormat="1" ht="12.6" customHeight="1" x14ac:dyDescent="0.3">
      <c r="A874" s="102"/>
      <c r="V874" s="102"/>
      <c r="W874" s="102"/>
      <c r="X874" s="102"/>
      <c r="Y874" s="102"/>
      <c r="Z874" s="102"/>
      <c r="AA874" s="102"/>
      <c r="AB874" s="102"/>
      <c r="AC874" s="102"/>
      <c r="AD874" s="102"/>
      <c r="AE874" s="102"/>
      <c r="AF874" s="102"/>
      <c r="AG874" s="102"/>
      <c r="AH874" s="102"/>
      <c r="AI874" s="102"/>
      <c r="AJ874" s="102"/>
      <c r="AK874" s="102"/>
      <c r="AL874" s="102"/>
      <c r="AM874" s="102"/>
      <c r="AN874" s="102"/>
      <c r="AO874" s="102"/>
      <c r="AP874" s="102"/>
      <c r="AQ874" s="102"/>
      <c r="AR874" s="102"/>
      <c r="AS874" s="102"/>
      <c r="AT874" s="102"/>
      <c r="AU874" s="102"/>
    </row>
    <row r="875" spans="1:47" s="78" customFormat="1" ht="12.6" customHeight="1" x14ac:dyDescent="0.3">
      <c r="A875" s="102"/>
      <c r="V875" s="102"/>
      <c r="W875" s="102"/>
      <c r="X875" s="102"/>
      <c r="Y875" s="102"/>
      <c r="Z875" s="102"/>
      <c r="AA875" s="102"/>
      <c r="AB875" s="102"/>
      <c r="AC875" s="102"/>
      <c r="AD875" s="102"/>
      <c r="AE875" s="102"/>
      <c r="AF875" s="102"/>
      <c r="AG875" s="102"/>
      <c r="AH875" s="102"/>
      <c r="AI875" s="102"/>
      <c r="AJ875" s="102"/>
      <c r="AK875" s="102"/>
      <c r="AL875" s="102"/>
      <c r="AM875" s="102"/>
      <c r="AN875" s="102"/>
      <c r="AO875" s="102"/>
      <c r="AP875" s="102"/>
      <c r="AQ875" s="102"/>
      <c r="AR875" s="102"/>
      <c r="AS875" s="102"/>
      <c r="AT875" s="102"/>
      <c r="AU875" s="102"/>
    </row>
    <row r="876" spans="1:47" s="78" customFormat="1" ht="12.6" customHeight="1" x14ac:dyDescent="0.3">
      <c r="A876" s="102"/>
      <c r="V876" s="102"/>
      <c r="W876" s="102"/>
      <c r="X876" s="102"/>
      <c r="Y876" s="102"/>
      <c r="Z876" s="102"/>
      <c r="AA876" s="102"/>
      <c r="AB876" s="102"/>
      <c r="AC876" s="102"/>
      <c r="AD876" s="102"/>
      <c r="AE876" s="102"/>
      <c r="AF876" s="102"/>
      <c r="AG876" s="102"/>
      <c r="AH876" s="102"/>
      <c r="AI876" s="102"/>
      <c r="AJ876" s="102"/>
      <c r="AK876" s="102"/>
      <c r="AL876" s="102"/>
      <c r="AM876" s="102"/>
      <c r="AN876" s="102"/>
      <c r="AO876" s="102"/>
      <c r="AP876" s="102"/>
      <c r="AQ876" s="102"/>
      <c r="AR876" s="102"/>
      <c r="AS876" s="102"/>
      <c r="AT876" s="102"/>
      <c r="AU876" s="102"/>
    </row>
    <row r="877" spans="1:47" s="78" customFormat="1" ht="12.6" customHeight="1" x14ac:dyDescent="0.3">
      <c r="A877" s="102"/>
      <c r="V877" s="102"/>
      <c r="W877" s="102"/>
      <c r="X877" s="102"/>
      <c r="Y877" s="102"/>
      <c r="Z877" s="102"/>
      <c r="AA877" s="102"/>
      <c r="AB877" s="102"/>
      <c r="AC877" s="102"/>
      <c r="AD877" s="102"/>
      <c r="AE877" s="102"/>
      <c r="AF877" s="102"/>
      <c r="AG877" s="102"/>
      <c r="AH877" s="102"/>
      <c r="AI877" s="102"/>
      <c r="AJ877" s="102"/>
      <c r="AK877" s="102"/>
      <c r="AL877" s="102"/>
      <c r="AM877" s="102"/>
      <c r="AN877" s="102"/>
      <c r="AO877" s="102"/>
      <c r="AP877" s="102"/>
      <c r="AQ877" s="102"/>
      <c r="AR877" s="102"/>
      <c r="AS877" s="102"/>
      <c r="AT877" s="102"/>
      <c r="AU877" s="102"/>
    </row>
    <row r="878" spans="1:47" s="78" customFormat="1" ht="12.6" customHeight="1" x14ac:dyDescent="0.3">
      <c r="A878" s="102"/>
      <c r="V878" s="102"/>
      <c r="W878" s="102"/>
      <c r="X878" s="102"/>
      <c r="Y878" s="102"/>
      <c r="Z878" s="102"/>
      <c r="AA878" s="102"/>
      <c r="AB878" s="102"/>
      <c r="AC878" s="102"/>
      <c r="AD878" s="102"/>
      <c r="AE878" s="102"/>
      <c r="AF878" s="102"/>
      <c r="AG878" s="102"/>
      <c r="AH878" s="102"/>
      <c r="AI878" s="102"/>
      <c r="AJ878" s="102"/>
      <c r="AK878" s="102"/>
      <c r="AL878" s="102"/>
      <c r="AM878" s="102"/>
      <c r="AN878" s="102"/>
      <c r="AO878" s="102"/>
      <c r="AP878" s="102"/>
      <c r="AQ878" s="102"/>
      <c r="AR878" s="102"/>
      <c r="AS878" s="102"/>
      <c r="AT878" s="102"/>
      <c r="AU878" s="102"/>
    </row>
    <row r="879" spans="1:47" s="78" customFormat="1" ht="12.6" customHeight="1" x14ac:dyDescent="0.3">
      <c r="A879" s="102"/>
      <c r="V879" s="102"/>
      <c r="W879" s="102"/>
      <c r="X879" s="102"/>
      <c r="Y879" s="102"/>
      <c r="Z879" s="102"/>
      <c r="AA879" s="102"/>
      <c r="AB879" s="102"/>
      <c r="AC879" s="102"/>
      <c r="AD879" s="102"/>
      <c r="AE879" s="102"/>
      <c r="AF879" s="102"/>
      <c r="AG879" s="102"/>
      <c r="AH879" s="102"/>
      <c r="AI879" s="102"/>
      <c r="AJ879" s="102"/>
      <c r="AK879" s="102"/>
      <c r="AL879" s="102"/>
      <c r="AM879" s="102"/>
      <c r="AN879" s="102"/>
      <c r="AO879" s="102"/>
      <c r="AP879" s="102"/>
      <c r="AQ879" s="102"/>
      <c r="AR879" s="102"/>
      <c r="AS879" s="102"/>
      <c r="AT879" s="102"/>
      <c r="AU879" s="102"/>
    </row>
    <row r="880" spans="1:47" s="78" customFormat="1" ht="12.6" customHeight="1" x14ac:dyDescent="0.3">
      <c r="A880" s="102"/>
      <c r="V880" s="102"/>
      <c r="W880" s="102"/>
      <c r="X880" s="102"/>
      <c r="Y880" s="102"/>
      <c r="Z880" s="102"/>
      <c r="AA880" s="102"/>
      <c r="AB880" s="102"/>
      <c r="AC880" s="102"/>
      <c r="AD880" s="102"/>
      <c r="AE880" s="102"/>
      <c r="AF880" s="102"/>
      <c r="AG880" s="102"/>
      <c r="AH880" s="102"/>
      <c r="AI880" s="102"/>
      <c r="AJ880" s="102"/>
      <c r="AK880" s="102"/>
      <c r="AL880" s="102"/>
      <c r="AM880" s="102"/>
      <c r="AN880" s="102"/>
      <c r="AO880" s="102"/>
      <c r="AP880" s="102"/>
      <c r="AQ880" s="102"/>
      <c r="AR880" s="102"/>
      <c r="AS880" s="102"/>
      <c r="AT880" s="102"/>
      <c r="AU880" s="102"/>
    </row>
    <row r="881" spans="1:47" s="78" customFormat="1" ht="12.6" customHeight="1" x14ac:dyDescent="0.3">
      <c r="A881" s="102"/>
      <c r="V881" s="102"/>
      <c r="W881" s="102"/>
      <c r="X881" s="102"/>
      <c r="Y881" s="102"/>
      <c r="Z881" s="102"/>
      <c r="AA881" s="102"/>
      <c r="AB881" s="102"/>
      <c r="AC881" s="102"/>
      <c r="AD881" s="102"/>
      <c r="AE881" s="102"/>
      <c r="AF881" s="102"/>
      <c r="AG881" s="102"/>
      <c r="AH881" s="102"/>
      <c r="AI881" s="102"/>
      <c r="AJ881" s="102"/>
      <c r="AK881" s="102"/>
      <c r="AL881" s="102"/>
      <c r="AM881" s="102"/>
      <c r="AN881" s="102"/>
      <c r="AO881" s="102"/>
      <c r="AP881" s="102"/>
      <c r="AQ881" s="102"/>
      <c r="AR881" s="102"/>
      <c r="AS881" s="102"/>
      <c r="AT881" s="102"/>
      <c r="AU881" s="102"/>
    </row>
    <row r="882" spans="1:47" s="78" customFormat="1" ht="12.6" customHeight="1" x14ac:dyDescent="0.3">
      <c r="A882" s="102"/>
      <c r="V882" s="102"/>
      <c r="W882" s="102"/>
      <c r="X882" s="102"/>
      <c r="Y882" s="102"/>
      <c r="Z882" s="102"/>
      <c r="AA882" s="102"/>
      <c r="AB882" s="102"/>
      <c r="AC882" s="102"/>
      <c r="AD882" s="102"/>
      <c r="AE882" s="102"/>
      <c r="AF882" s="102"/>
      <c r="AG882" s="102"/>
      <c r="AH882" s="102"/>
      <c r="AI882" s="102"/>
      <c r="AJ882" s="102"/>
      <c r="AK882" s="102"/>
      <c r="AL882" s="102"/>
      <c r="AM882" s="102"/>
      <c r="AN882" s="102"/>
      <c r="AO882" s="102"/>
      <c r="AP882" s="102"/>
      <c r="AQ882" s="102"/>
      <c r="AR882" s="102"/>
      <c r="AS882" s="102"/>
      <c r="AT882" s="102"/>
      <c r="AU882" s="102"/>
    </row>
    <row r="883" spans="1:47" s="78" customFormat="1" ht="12.6" customHeight="1" x14ac:dyDescent="0.3">
      <c r="A883" s="102"/>
      <c r="V883" s="102"/>
      <c r="W883" s="102"/>
      <c r="X883" s="102"/>
      <c r="Y883" s="102"/>
      <c r="Z883" s="102"/>
      <c r="AA883" s="102"/>
      <c r="AB883" s="102"/>
      <c r="AC883" s="102"/>
      <c r="AD883" s="102"/>
      <c r="AE883" s="102"/>
      <c r="AF883" s="102"/>
      <c r="AG883" s="102"/>
      <c r="AH883" s="102"/>
      <c r="AI883" s="102"/>
      <c r="AJ883" s="102"/>
      <c r="AK883" s="102"/>
      <c r="AL883" s="102"/>
      <c r="AM883" s="102"/>
      <c r="AN883" s="102"/>
      <c r="AO883" s="102"/>
      <c r="AP883" s="102"/>
      <c r="AQ883" s="102"/>
      <c r="AR883" s="102"/>
      <c r="AS883" s="102"/>
      <c r="AT883" s="102"/>
      <c r="AU883" s="102"/>
    </row>
    <row r="884" spans="1:47" s="78" customFormat="1" ht="12.6" customHeight="1" x14ac:dyDescent="0.3">
      <c r="A884" s="102"/>
      <c r="V884" s="102"/>
      <c r="W884" s="102"/>
      <c r="X884" s="102"/>
      <c r="Y884" s="102"/>
      <c r="Z884" s="102"/>
      <c r="AA884" s="102"/>
      <c r="AB884" s="102"/>
      <c r="AC884" s="102"/>
      <c r="AD884" s="102"/>
      <c r="AE884" s="102"/>
      <c r="AF884" s="102"/>
      <c r="AG884" s="102"/>
      <c r="AH884" s="102"/>
      <c r="AI884" s="102"/>
      <c r="AJ884" s="102"/>
      <c r="AK884" s="102"/>
      <c r="AL884" s="102"/>
      <c r="AM884" s="102"/>
      <c r="AN884" s="102"/>
      <c r="AO884" s="102"/>
      <c r="AP884" s="102"/>
      <c r="AQ884" s="102"/>
      <c r="AR884" s="102"/>
      <c r="AS884" s="102"/>
      <c r="AT884" s="102"/>
      <c r="AU884" s="102"/>
    </row>
    <row r="885" spans="1:47" s="78" customFormat="1" ht="12.6" customHeight="1" x14ac:dyDescent="0.3">
      <c r="A885" s="102"/>
      <c r="V885" s="102"/>
      <c r="W885" s="102"/>
      <c r="X885" s="102"/>
      <c r="Y885" s="102"/>
      <c r="Z885" s="102"/>
      <c r="AA885" s="102"/>
      <c r="AB885" s="102"/>
      <c r="AC885" s="102"/>
      <c r="AD885" s="102"/>
      <c r="AE885" s="102"/>
      <c r="AF885" s="102"/>
      <c r="AG885" s="102"/>
      <c r="AH885" s="102"/>
      <c r="AI885" s="102"/>
      <c r="AJ885" s="102"/>
      <c r="AK885" s="102"/>
      <c r="AL885" s="102"/>
      <c r="AM885" s="102"/>
      <c r="AN885" s="102"/>
      <c r="AO885" s="102"/>
      <c r="AP885" s="102"/>
      <c r="AQ885" s="102"/>
      <c r="AR885" s="102"/>
      <c r="AS885" s="102"/>
      <c r="AT885" s="102"/>
      <c r="AU885" s="102"/>
    </row>
    <row r="886" spans="1:47" s="78" customFormat="1" ht="12.6" customHeight="1" x14ac:dyDescent="0.3">
      <c r="A886" s="102"/>
      <c r="V886" s="102"/>
      <c r="W886" s="102"/>
      <c r="X886" s="102"/>
      <c r="Y886" s="102"/>
      <c r="Z886" s="102"/>
      <c r="AA886" s="102"/>
      <c r="AB886" s="102"/>
      <c r="AC886" s="102"/>
      <c r="AD886" s="102"/>
      <c r="AE886" s="102"/>
      <c r="AF886" s="102"/>
      <c r="AG886" s="102"/>
      <c r="AH886" s="102"/>
      <c r="AI886" s="102"/>
      <c r="AJ886" s="102"/>
      <c r="AK886" s="102"/>
      <c r="AL886" s="102"/>
      <c r="AM886" s="102"/>
      <c r="AN886" s="102"/>
      <c r="AO886" s="102"/>
      <c r="AP886" s="102"/>
      <c r="AQ886" s="102"/>
      <c r="AR886" s="102"/>
      <c r="AS886" s="102"/>
      <c r="AT886" s="102"/>
      <c r="AU886" s="102"/>
    </row>
    <row r="887" spans="1:47" s="78" customFormat="1" ht="12.6" customHeight="1" x14ac:dyDescent="0.3">
      <c r="A887" s="102"/>
      <c r="V887" s="102"/>
      <c r="W887" s="102"/>
      <c r="X887" s="102"/>
      <c r="Y887" s="102"/>
      <c r="Z887" s="102"/>
      <c r="AA887" s="102"/>
      <c r="AB887" s="102"/>
      <c r="AC887" s="102"/>
      <c r="AD887" s="102"/>
      <c r="AE887" s="102"/>
      <c r="AF887" s="102"/>
      <c r="AG887" s="102"/>
      <c r="AH887" s="102"/>
      <c r="AI887" s="102"/>
      <c r="AJ887" s="102"/>
      <c r="AK887" s="102"/>
      <c r="AL887" s="102"/>
      <c r="AM887" s="102"/>
      <c r="AN887" s="102"/>
      <c r="AO887" s="102"/>
      <c r="AP887" s="102"/>
      <c r="AQ887" s="102"/>
      <c r="AR887" s="102"/>
      <c r="AS887" s="102"/>
      <c r="AT887" s="102"/>
      <c r="AU887" s="102"/>
    </row>
    <row r="888" spans="1:47" s="78" customFormat="1" ht="12.6" customHeight="1" x14ac:dyDescent="0.3">
      <c r="A888" s="102"/>
      <c r="V888" s="102"/>
      <c r="W888" s="102"/>
      <c r="X888" s="102"/>
      <c r="Y888" s="102"/>
      <c r="Z888" s="102"/>
      <c r="AA888" s="102"/>
      <c r="AB888" s="102"/>
      <c r="AC888" s="102"/>
      <c r="AD888" s="102"/>
      <c r="AE888" s="102"/>
      <c r="AF888" s="102"/>
      <c r="AG888" s="102"/>
      <c r="AH888" s="102"/>
      <c r="AI888" s="102"/>
      <c r="AJ888" s="102"/>
      <c r="AK888" s="102"/>
      <c r="AL888" s="102"/>
      <c r="AM888" s="102"/>
      <c r="AN888" s="102"/>
      <c r="AO888" s="102"/>
      <c r="AP888" s="102"/>
      <c r="AQ888" s="102"/>
      <c r="AR888" s="102"/>
      <c r="AS888" s="102"/>
      <c r="AT888" s="102"/>
      <c r="AU888" s="102"/>
    </row>
    <row r="889" spans="1:47" s="78" customFormat="1" ht="12.6" customHeight="1" x14ac:dyDescent="0.3">
      <c r="A889" s="102"/>
      <c r="V889" s="102"/>
      <c r="W889" s="102"/>
      <c r="X889" s="102"/>
      <c r="Y889" s="102"/>
      <c r="Z889" s="102"/>
      <c r="AA889" s="102"/>
      <c r="AB889" s="102"/>
      <c r="AC889" s="102"/>
      <c r="AD889" s="102"/>
      <c r="AE889" s="102"/>
      <c r="AF889" s="102"/>
      <c r="AG889" s="102"/>
      <c r="AH889" s="102"/>
      <c r="AI889" s="102"/>
      <c r="AJ889" s="102"/>
      <c r="AK889" s="102"/>
      <c r="AL889" s="102"/>
      <c r="AM889" s="102"/>
      <c r="AN889" s="102"/>
      <c r="AO889" s="102"/>
      <c r="AP889" s="102"/>
      <c r="AQ889" s="102"/>
      <c r="AR889" s="102"/>
      <c r="AS889" s="102"/>
      <c r="AT889" s="102"/>
      <c r="AU889" s="102"/>
    </row>
    <row r="890" spans="1:47" s="78" customFormat="1" ht="12.6" customHeight="1" x14ac:dyDescent="0.3">
      <c r="A890" s="102"/>
      <c r="V890" s="102"/>
      <c r="W890" s="102"/>
      <c r="X890" s="102"/>
      <c r="Y890" s="102"/>
      <c r="Z890" s="102"/>
      <c r="AA890" s="102"/>
      <c r="AB890" s="102"/>
      <c r="AC890" s="102"/>
      <c r="AD890" s="102"/>
      <c r="AE890" s="102"/>
      <c r="AF890" s="102"/>
      <c r="AG890" s="102"/>
      <c r="AH890" s="102"/>
      <c r="AI890" s="102"/>
      <c r="AJ890" s="102"/>
      <c r="AK890" s="102"/>
      <c r="AL890" s="102"/>
      <c r="AM890" s="102"/>
      <c r="AN890" s="102"/>
      <c r="AO890" s="102"/>
      <c r="AP890" s="102"/>
      <c r="AQ890" s="102"/>
      <c r="AR890" s="102"/>
      <c r="AS890" s="102"/>
      <c r="AT890" s="102"/>
      <c r="AU890" s="102"/>
    </row>
    <row r="891" spans="1:47" s="78" customFormat="1" ht="12.6" customHeight="1" x14ac:dyDescent="0.3">
      <c r="A891" s="102"/>
      <c r="V891" s="102"/>
      <c r="W891" s="102"/>
      <c r="X891" s="102"/>
      <c r="Y891" s="102"/>
      <c r="Z891" s="102"/>
      <c r="AA891" s="102"/>
      <c r="AB891" s="102"/>
      <c r="AC891" s="102"/>
      <c r="AD891" s="102"/>
      <c r="AE891" s="102"/>
      <c r="AF891" s="102"/>
      <c r="AG891" s="102"/>
      <c r="AH891" s="102"/>
      <c r="AI891" s="102"/>
      <c r="AJ891" s="102"/>
      <c r="AK891" s="102"/>
      <c r="AL891" s="102"/>
      <c r="AM891" s="102"/>
      <c r="AN891" s="102"/>
      <c r="AO891" s="102"/>
      <c r="AP891" s="102"/>
      <c r="AQ891" s="102"/>
      <c r="AR891" s="102"/>
      <c r="AS891" s="102"/>
      <c r="AT891" s="102"/>
      <c r="AU891" s="102"/>
    </row>
    <row r="892" spans="1:47" s="78" customFormat="1" ht="12.6" customHeight="1" x14ac:dyDescent="0.3">
      <c r="A892" s="102"/>
      <c r="V892" s="102"/>
      <c r="W892" s="102"/>
      <c r="X892" s="102"/>
      <c r="Y892" s="102"/>
      <c r="Z892" s="102"/>
      <c r="AA892" s="102"/>
      <c r="AB892" s="102"/>
      <c r="AC892" s="102"/>
      <c r="AD892" s="102"/>
      <c r="AE892" s="102"/>
      <c r="AF892" s="102"/>
      <c r="AG892" s="102"/>
      <c r="AH892" s="102"/>
      <c r="AI892" s="102"/>
      <c r="AJ892" s="102"/>
      <c r="AK892" s="102"/>
      <c r="AL892" s="102"/>
      <c r="AM892" s="102"/>
      <c r="AN892" s="102"/>
      <c r="AO892" s="102"/>
      <c r="AP892" s="102"/>
      <c r="AQ892" s="102"/>
      <c r="AR892" s="102"/>
      <c r="AS892" s="102"/>
      <c r="AT892" s="102"/>
      <c r="AU892" s="102"/>
    </row>
    <row r="893" spans="1:47" s="78" customFormat="1" ht="12.6" customHeight="1" x14ac:dyDescent="0.3">
      <c r="A893" s="102"/>
      <c r="V893" s="102"/>
      <c r="W893" s="102"/>
      <c r="X893" s="102"/>
      <c r="Y893" s="102"/>
      <c r="Z893" s="102"/>
      <c r="AA893" s="102"/>
      <c r="AB893" s="102"/>
      <c r="AC893" s="102"/>
      <c r="AD893" s="102"/>
      <c r="AE893" s="102"/>
      <c r="AF893" s="102"/>
      <c r="AG893" s="102"/>
      <c r="AH893" s="102"/>
      <c r="AI893" s="102"/>
      <c r="AJ893" s="102"/>
      <c r="AK893" s="102"/>
      <c r="AL893" s="102"/>
      <c r="AM893" s="102"/>
      <c r="AN893" s="102"/>
      <c r="AO893" s="102"/>
      <c r="AP893" s="102"/>
      <c r="AQ893" s="102"/>
      <c r="AR893" s="102"/>
      <c r="AS893" s="102"/>
      <c r="AT893" s="102"/>
      <c r="AU893" s="102"/>
    </row>
    <row r="894" spans="1:47" s="78" customFormat="1" ht="12.6" customHeight="1" x14ac:dyDescent="0.3">
      <c r="A894" s="102"/>
      <c r="V894" s="102"/>
      <c r="W894" s="102"/>
      <c r="X894" s="102"/>
      <c r="Y894" s="102"/>
      <c r="Z894" s="102"/>
      <c r="AA894" s="102"/>
      <c r="AB894" s="102"/>
      <c r="AC894" s="102"/>
      <c r="AD894" s="102"/>
      <c r="AE894" s="102"/>
      <c r="AF894" s="102"/>
      <c r="AG894" s="102"/>
      <c r="AH894" s="102"/>
      <c r="AI894" s="102"/>
      <c r="AJ894" s="102"/>
      <c r="AK894" s="102"/>
      <c r="AL894" s="102"/>
      <c r="AM894" s="102"/>
      <c r="AN894" s="102"/>
      <c r="AO894" s="102"/>
      <c r="AP894" s="102"/>
      <c r="AQ894" s="102"/>
      <c r="AR894" s="102"/>
      <c r="AS894" s="102"/>
      <c r="AT894" s="102"/>
      <c r="AU894" s="102"/>
    </row>
    <row r="895" spans="1:47" s="78" customFormat="1" ht="12.6" customHeight="1" x14ac:dyDescent="0.3">
      <c r="A895" s="102"/>
      <c r="V895" s="102"/>
      <c r="W895" s="102"/>
      <c r="X895" s="102"/>
      <c r="Y895" s="102"/>
      <c r="Z895" s="102"/>
      <c r="AA895" s="102"/>
      <c r="AB895" s="102"/>
      <c r="AC895" s="102"/>
      <c r="AD895" s="102"/>
      <c r="AE895" s="102"/>
      <c r="AF895" s="102"/>
      <c r="AG895" s="102"/>
      <c r="AH895" s="102"/>
      <c r="AI895" s="102"/>
      <c r="AJ895" s="102"/>
      <c r="AK895" s="102"/>
      <c r="AL895" s="102"/>
      <c r="AM895" s="102"/>
      <c r="AN895" s="102"/>
      <c r="AO895" s="102"/>
      <c r="AP895" s="102"/>
      <c r="AQ895" s="102"/>
      <c r="AR895" s="102"/>
      <c r="AS895" s="102"/>
      <c r="AT895" s="102"/>
      <c r="AU895" s="102"/>
    </row>
  </sheetData>
  <printOptions gridLines="1"/>
  <pageMargins left="0.67" right="0.17" top="0.75" bottom="0.56000000000000005" header="0.25" footer="0.28999999999999998"/>
  <pageSetup orientation="portrait" r:id="rId1"/>
  <headerFooter alignWithMargins="0">
    <oddHeader xml:space="preserve">&amp;CJames Irwin Charter Middle School
Statement of Financial Activities
January 31, 2017
</oddHeader>
    <oddFooter>&amp;L&amp;D&amp;T&amp;R&amp;P</oddFooter>
  </headerFooter>
  <rowBreaks count="1" manualBreakCount="1">
    <brk id="5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25"/>
  <sheetViews>
    <sheetView zoomScaleNormal="100" workbookViewId="0">
      <pane ySplit="4" topLeftCell="A59" activePane="bottomLeft" state="frozen"/>
      <selection pane="bottomLeft" activeCell="B2" sqref="B2:B3"/>
    </sheetView>
  </sheetViews>
  <sheetFormatPr defaultColWidth="9.109375" defaultRowHeight="12.6" customHeight="1" x14ac:dyDescent="0.3"/>
  <cols>
    <col min="1" max="1" width="37.109375" style="102" customWidth="1"/>
    <col min="2" max="4" width="13.5546875" style="102" customWidth="1"/>
    <col min="5" max="5" width="15.6640625" style="102" hidden="1" customWidth="1"/>
    <col min="6" max="6" width="11.33203125" style="102" hidden="1" customWidth="1"/>
    <col min="7" max="7" width="18" style="79" customWidth="1"/>
    <col min="8" max="8" width="20.5546875" style="78" customWidth="1"/>
    <col min="9" max="9" width="14" style="78" customWidth="1"/>
    <col min="10" max="28" width="9.109375" style="78"/>
    <col min="29" max="16384" width="9.109375" style="102"/>
  </cols>
  <sheetData>
    <row r="1" spans="1:28" s="46" customFormat="1" ht="12.6" customHeight="1" x14ac:dyDescent="0.3">
      <c r="A1" s="71" t="s">
        <v>251</v>
      </c>
      <c r="B1" s="151" t="e">
        <f>'HS detail'!#REF!</f>
        <v>#REF!</v>
      </c>
      <c r="C1" s="151">
        <v>427.5</v>
      </c>
      <c r="D1" s="151" t="s">
        <v>269</v>
      </c>
      <c r="E1" s="151">
        <v>421</v>
      </c>
      <c r="F1" s="151">
        <v>421</v>
      </c>
      <c r="G1" s="203">
        <v>429.5</v>
      </c>
    </row>
    <row r="2" spans="1:28" s="46" customFormat="1" ht="12.6" customHeight="1" x14ac:dyDescent="0.3">
      <c r="A2" s="70" t="s">
        <v>252</v>
      </c>
      <c r="B2" s="151" t="e">
        <f>'HS detail'!#REF!</f>
        <v>#REF!</v>
      </c>
      <c r="C2" s="48">
        <f>7398.46+116.75</f>
        <v>7515.21</v>
      </c>
      <c r="D2" s="48">
        <f>7398.46+116.75</f>
        <v>7515.21</v>
      </c>
      <c r="E2" s="48">
        <v>7356.01</v>
      </c>
      <c r="F2" s="48">
        <v>7356.01</v>
      </c>
      <c r="G2" s="182"/>
    </row>
    <row r="3" spans="1:28" s="44" customFormat="1" ht="12.6" customHeight="1" x14ac:dyDescent="0.3">
      <c r="A3" s="48"/>
      <c r="B3" s="151" t="e">
        <f>'HS detail'!#REF!</f>
        <v>#REF!</v>
      </c>
      <c r="C3" s="44">
        <v>250</v>
      </c>
      <c r="D3" s="44">
        <v>250</v>
      </c>
      <c r="E3" s="44">
        <v>250</v>
      </c>
      <c r="F3" s="44">
        <v>250</v>
      </c>
      <c r="G3" s="183"/>
    </row>
    <row r="4" spans="1:28" s="44" customFormat="1" ht="29.4" thickBot="1" x14ac:dyDescent="0.35">
      <c r="A4" s="49"/>
      <c r="B4" s="187" t="s">
        <v>429</v>
      </c>
      <c r="C4" s="187" t="s">
        <v>424</v>
      </c>
      <c r="D4" s="187" t="s">
        <v>423</v>
      </c>
      <c r="E4" s="187" t="s">
        <v>318</v>
      </c>
      <c r="F4" s="187" t="s">
        <v>306</v>
      </c>
      <c r="G4" s="185" t="s">
        <v>15</v>
      </c>
    </row>
    <row r="5" spans="1:28" s="101" customFormat="1" ht="14.4" x14ac:dyDescent="0.3">
      <c r="A5" s="219" t="s">
        <v>16</v>
      </c>
      <c r="B5" s="221"/>
      <c r="C5" s="221"/>
      <c r="D5" s="221"/>
      <c r="G5" s="79"/>
      <c r="H5" s="78"/>
      <c r="I5" s="78"/>
      <c r="J5" s="78"/>
      <c r="K5" s="78"/>
      <c r="L5" s="78"/>
      <c r="M5" s="78"/>
      <c r="N5" s="78"/>
      <c r="O5" s="78"/>
      <c r="P5" s="78"/>
      <c r="Q5" s="78"/>
      <c r="R5" s="78"/>
      <c r="S5" s="78"/>
      <c r="T5" s="78"/>
      <c r="U5" s="78"/>
      <c r="V5" s="78"/>
      <c r="W5" s="78"/>
      <c r="X5" s="78"/>
      <c r="Y5" s="78"/>
      <c r="Z5" s="78"/>
      <c r="AA5" s="78"/>
      <c r="AB5" s="78"/>
    </row>
    <row r="6" spans="1:28" ht="12.6" customHeight="1" x14ac:dyDescent="0.3">
      <c r="A6" s="104" t="s">
        <v>26</v>
      </c>
    </row>
    <row r="7" spans="1:28" ht="12.6" customHeight="1" x14ac:dyDescent="0.3">
      <c r="A7" s="102" t="s">
        <v>23</v>
      </c>
      <c r="B7" s="78" t="e">
        <f>+'HS detail'!#REF!</f>
        <v>#REF!</v>
      </c>
      <c r="C7" s="78">
        <f>+'HS detail'!C8</f>
        <v>3000</v>
      </c>
      <c r="D7" s="78">
        <f>+'HS detail'!D8</f>
        <v>3000</v>
      </c>
      <c r="E7" s="78">
        <v>1000</v>
      </c>
      <c r="F7" s="78">
        <v>3940</v>
      </c>
    </row>
    <row r="8" spans="1:28" ht="12.6" customHeight="1" x14ac:dyDescent="0.3">
      <c r="A8" s="102" t="s">
        <v>17</v>
      </c>
      <c r="B8" s="78" t="e">
        <f>+'HS detail'!#REF!+'HS detail'!#REF!+'HS detail'!#REF!+'HS detail'!#REF!+'HS detail'!#REF!+'HS detail'!#REF!+'HS detail'!#REF!</f>
        <v>#REF!</v>
      </c>
      <c r="C8" s="78">
        <f>+'HS detail'!C7+'HS detail'!C9+'HS detail'!C10+'HS detail'!C17+'HS detail'!C18+'HS detail'!C19+'HS detail'!C20</f>
        <v>94875</v>
      </c>
      <c r="D8" s="78">
        <f>+'HS detail'!D7+'HS detail'!D9+'HS detail'!D10+'HS detail'!D17+'HS detail'!D18+'HS detail'!D19+'HS detail'!D20</f>
        <v>91854</v>
      </c>
      <c r="E8" s="78">
        <v>21000</v>
      </c>
      <c r="F8" s="78">
        <f>38469-2</f>
        <v>38467</v>
      </c>
    </row>
    <row r="9" spans="1:28" ht="12.6" customHeight="1" x14ac:dyDescent="0.3">
      <c r="A9" s="102" t="s">
        <v>404</v>
      </c>
      <c r="B9" s="78" t="e">
        <f>+'HS detail'!#REF!</f>
        <v>#REF!</v>
      </c>
      <c r="C9" s="78">
        <f>+'HS detail'!C49</f>
        <v>0</v>
      </c>
      <c r="D9" s="78">
        <f>+'HS detail'!D49</f>
        <v>0</v>
      </c>
      <c r="E9" s="78"/>
      <c r="F9" s="78"/>
    </row>
    <row r="10" spans="1:28" s="78" customFormat="1" ht="12.6" customHeight="1" x14ac:dyDescent="0.3">
      <c r="A10" s="78" t="s">
        <v>304</v>
      </c>
      <c r="B10" s="58" t="e">
        <f>+'HS detail'!#REF!</f>
        <v>#REF!</v>
      </c>
      <c r="C10" s="58">
        <f>+'HS detail'!C11</f>
        <v>11229</v>
      </c>
      <c r="D10" s="58">
        <f>+'HS detail'!D11</f>
        <v>2924</v>
      </c>
      <c r="E10" s="58">
        <v>1000</v>
      </c>
      <c r="F10" s="58">
        <v>50981</v>
      </c>
      <c r="G10" s="58" t="s">
        <v>15</v>
      </c>
    </row>
    <row r="11" spans="1:28" ht="14.4" x14ac:dyDescent="0.3">
      <c r="A11" s="102" t="s">
        <v>22</v>
      </c>
      <c r="B11" s="79" t="e">
        <f>+'HS detail'!#REF!</f>
        <v>#REF!</v>
      </c>
      <c r="C11" s="79">
        <f>+'HS detail'!C13</f>
        <v>106875</v>
      </c>
      <c r="D11" s="79">
        <f>+'HS detail'!D13</f>
        <v>106875</v>
      </c>
      <c r="E11" s="79">
        <f>E1*E3</f>
        <v>105250</v>
      </c>
      <c r="F11" s="79">
        <v>108825</v>
      </c>
      <c r="G11" s="76" t="s">
        <v>15</v>
      </c>
      <c r="H11" s="124" t="s">
        <v>15</v>
      </c>
    </row>
    <row r="12" spans="1:28" ht="14.4" x14ac:dyDescent="0.3">
      <c r="A12" s="102" t="s">
        <v>394</v>
      </c>
      <c r="B12" s="79" t="e">
        <f>+'HS detail'!#REF!+'HS detail'!#REF!</f>
        <v>#REF!</v>
      </c>
      <c r="C12" s="79">
        <f>+'HS detail'!C14+'HS detail'!C24</f>
        <v>20000</v>
      </c>
      <c r="D12" s="79">
        <f>+'HS detail'!D14+'HS detail'!D24</f>
        <v>20000</v>
      </c>
      <c r="E12" s="79">
        <v>10000</v>
      </c>
      <c r="F12" s="79">
        <v>9759</v>
      </c>
    </row>
    <row r="13" spans="1:28" ht="14.4" x14ac:dyDescent="0.3">
      <c r="A13" s="102" t="s">
        <v>393</v>
      </c>
      <c r="B13" s="79" t="e">
        <f>+'HS detail'!#REF!+'HS detail'!#REF!</f>
        <v>#REF!</v>
      </c>
      <c r="C13" s="79">
        <f>+'HS detail'!C23+'HS detail'!C16</f>
        <v>6259</v>
      </c>
      <c r="D13" s="79">
        <f>+'HS detail'!D23+'HS detail'!D16</f>
        <v>7258.41</v>
      </c>
      <c r="E13" s="79"/>
      <c r="F13" s="79"/>
    </row>
    <row r="14" spans="1:28" ht="14.4" x14ac:dyDescent="0.3">
      <c r="A14" s="102" t="s">
        <v>146</v>
      </c>
      <c r="B14" s="79" t="e">
        <f>+'HS detail'!#REF!</f>
        <v>#REF!</v>
      </c>
      <c r="C14" s="79">
        <f>+'HS detail'!C35</f>
        <v>69750</v>
      </c>
      <c r="D14" s="79">
        <f>+'HS detail'!D35</f>
        <v>69750</v>
      </c>
      <c r="E14" s="79"/>
      <c r="F14" s="79"/>
    </row>
    <row r="15" spans="1:28" ht="14.4" x14ac:dyDescent="0.3">
      <c r="A15" s="102" t="s">
        <v>79</v>
      </c>
      <c r="B15" s="103" t="e">
        <f>+'HS detail'!#REF!</f>
        <v>#REF!</v>
      </c>
      <c r="C15" s="103">
        <f>+'HS detail'!C15</f>
        <v>3246183</v>
      </c>
      <c r="D15" s="103">
        <f>+'HS detail'!D15</f>
        <v>3212752</v>
      </c>
      <c r="E15" s="79">
        <f>E1*E2</f>
        <v>3096880.21</v>
      </c>
      <c r="F15" s="79">
        <v>3114752</v>
      </c>
    </row>
    <row r="16" spans="1:28" s="104" customFormat="1" ht="14.25" customHeight="1" thickBot="1" x14ac:dyDescent="0.35">
      <c r="A16" s="104" t="s">
        <v>49</v>
      </c>
      <c r="B16" s="108" t="e">
        <f>SUM(B7:B15)</f>
        <v>#REF!</v>
      </c>
      <c r="C16" s="108">
        <f>SUM(C7:C15)</f>
        <v>3558171</v>
      </c>
      <c r="D16" s="108">
        <f>SUM(D7:D15)</f>
        <v>3514413.41</v>
      </c>
      <c r="E16" s="108" t="e">
        <f>+#REF!+#REF!+#REF!+#REF!+#REF!</f>
        <v>#REF!</v>
      </c>
      <c r="F16" s="108" t="e">
        <f>+#REF!+#REF!+#REF!+#REF!+#REF!</f>
        <v>#REF!</v>
      </c>
      <c r="G16" s="105"/>
      <c r="H16" s="2"/>
      <c r="I16" s="2"/>
      <c r="J16" s="2"/>
      <c r="K16" s="2"/>
      <c r="L16" s="2"/>
      <c r="M16" s="2"/>
      <c r="N16" s="2"/>
      <c r="O16" s="2"/>
      <c r="P16" s="2"/>
      <c r="Q16" s="2"/>
      <c r="R16" s="2"/>
      <c r="S16" s="2"/>
      <c r="T16" s="2"/>
      <c r="U16" s="2"/>
      <c r="V16" s="2"/>
      <c r="W16" s="2"/>
      <c r="X16" s="2"/>
      <c r="Y16" s="2"/>
      <c r="Z16" s="2"/>
      <c r="AA16" s="2"/>
      <c r="AB16" s="2"/>
    </row>
    <row r="17" spans="1:28" ht="12.6" customHeight="1" thickTop="1" x14ac:dyDescent="0.3">
      <c r="G17" s="196"/>
    </row>
    <row r="18" spans="1:28" s="101" customFormat="1" ht="12.75" customHeight="1" x14ac:dyDescent="0.3">
      <c r="A18" s="219" t="s">
        <v>19</v>
      </c>
      <c r="B18" s="221"/>
      <c r="C18" s="221"/>
      <c r="D18" s="221"/>
      <c r="G18" s="79"/>
      <c r="H18" s="78"/>
      <c r="I18" s="78"/>
      <c r="J18" s="78"/>
      <c r="K18" s="78"/>
      <c r="L18" s="78"/>
      <c r="M18" s="78"/>
      <c r="N18" s="78"/>
      <c r="O18" s="78"/>
      <c r="P18" s="78"/>
      <c r="Q18" s="78"/>
      <c r="R18" s="78"/>
      <c r="S18" s="78"/>
      <c r="T18" s="78"/>
      <c r="U18" s="78"/>
      <c r="V18" s="78"/>
      <c r="W18" s="78"/>
      <c r="X18" s="78"/>
      <c r="Y18" s="78"/>
      <c r="Z18" s="78"/>
      <c r="AA18" s="78"/>
      <c r="AB18" s="78"/>
    </row>
    <row r="19" spans="1:28" s="78" customFormat="1" ht="7.5" customHeight="1" x14ac:dyDescent="0.3">
      <c r="A19" s="2"/>
      <c r="G19" s="79"/>
    </row>
    <row r="20" spans="1:28" s="78" customFormat="1" ht="12.75" customHeight="1" x14ac:dyDescent="0.3">
      <c r="A20" s="219" t="s">
        <v>88</v>
      </c>
      <c r="B20" s="221"/>
      <c r="C20" s="221"/>
      <c r="D20" s="221"/>
      <c r="E20" s="101"/>
      <c r="F20" s="101"/>
      <c r="G20" s="79"/>
    </row>
    <row r="21" spans="1:28" ht="12.6" customHeight="1" x14ac:dyDescent="0.3">
      <c r="A21" s="78" t="s">
        <v>395</v>
      </c>
      <c r="B21" s="78" t="e">
        <f>+'HS detail'!#REF!</f>
        <v>#REF!</v>
      </c>
      <c r="C21" s="78">
        <f>+'HS detail'!C63</f>
        <v>1339417</v>
      </c>
      <c r="D21" s="78">
        <f>+'HS detail'!D63</f>
        <v>1339417</v>
      </c>
      <c r="E21" s="78" t="e">
        <f>SUM(#REF!)</f>
        <v>#REF!</v>
      </c>
      <c r="F21" s="78" t="e">
        <f>SUM(#REF!)</f>
        <v>#REF!</v>
      </c>
      <c r="H21" s="124"/>
    </row>
    <row r="22" spans="1:28" ht="12.6" customHeight="1" x14ac:dyDescent="0.3">
      <c r="A22" s="78" t="s">
        <v>82</v>
      </c>
      <c r="B22" s="82" t="e">
        <f>+'HS detail'!#REF!</f>
        <v>#REF!</v>
      </c>
      <c r="C22" s="82">
        <f>+'HS detail'!C65</f>
        <v>32000</v>
      </c>
      <c r="D22" s="82">
        <f>+'HS detail'!D65</f>
        <v>32000</v>
      </c>
      <c r="E22" s="82">
        <v>32000</v>
      </c>
      <c r="F22" s="82">
        <v>24115</v>
      </c>
      <c r="G22" s="77"/>
      <c r="H22" s="124"/>
    </row>
    <row r="23" spans="1:28" ht="12.6" customHeight="1" x14ac:dyDescent="0.3">
      <c r="A23" s="78" t="s">
        <v>83</v>
      </c>
      <c r="B23" s="82" t="e">
        <f>+'HS detail'!#REF!</f>
        <v>#REF!</v>
      </c>
      <c r="C23" s="82">
        <f>+'HS detail'!C66</f>
        <v>122200</v>
      </c>
      <c r="D23" s="82">
        <f>+'HS detail'!D66</f>
        <v>122200</v>
      </c>
      <c r="E23" s="82">
        <f>235*520</f>
        <v>122200</v>
      </c>
      <c r="F23" s="82">
        <v>143613</v>
      </c>
      <c r="G23" s="77" t="s">
        <v>297</v>
      </c>
      <c r="H23" s="124"/>
    </row>
    <row r="24" spans="1:28" ht="12.6" customHeight="1" x14ac:dyDescent="0.3">
      <c r="A24" s="78" t="s">
        <v>276</v>
      </c>
      <c r="B24" s="82" t="e">
        <f>+'HS detail'!#REF!+'HS detail'!#REF!</f>
        <v>#REF!</v>
      </c>
      <c r="C24" s="82">
        <f>+'HS detail'!C67+'HS detail'!C69</f>
        <v>31550</v>
      </c>
      <c r="D24" s="82">
        <f>+'HS detail'!D67+'HS detail'!D69</f>
        <v>31550</v>
      </c>
      <c r="E24" s="82">
        <v>28000</v>
      </c>
      <c r="F24" s="82">
        <v>31935</v>
      </c>
      <c r="G24" s="77" t="s">
        <v>15</v>
      </c>
      <c r="H24" s="124"/>
    </row>
    <row r="25" spans="1:28" ht="12.6" customHeight="1" x14ac:dyDescent="0.3">
      <c r="A25" s="78" t="s">
        <v>85</v>
      </c>
      <c r="B25" s="81" t="e">
        <f>+'HS detail'!#REF!</f>
        <v>#REF!</v>
      </c>
      <c r="C25" s="81">
        <f>+'HS detail'!C68</f>
        <v>39200</v>
      </c>
      <c r="D25" s="81">
        <f>+'HS detail'!D68</f>
        <v>39200</v>
      </c>
      <c r="E25" s="82">
        <v>33000</v>
      </c>
      <c r="F25" s="82">
        <v>24229</v>
      </c>
      <c r="G25" s="77" t="s">
        <v>320</v>
      </c>
      <c r="H25" s="124"/>
    </row>
    <row r="26" spans="1:28" s="104" customFormat="1" ht="12.6" customHeight="1" x14ac:dyDescent="0.3">
      <c r="A26" s="104" t="s">
        <v>31</v>
      </c>
      <c r="B26" s="105" t="e">
        <f>SUM(B21:B25)</f>
        <v>#REF!</v>
      </c>
      <c r="C26" s="105">
        <f>SUM(C21:C25)</f>
        <v>1564367</v>
      </c>
      <c r="D26" s="105">
        <f>SUM(D21:D25)</f>
        <v>1564367</v>
      </c>
      <c r="E26" s="105" t="e">
        <f>SUM(E21:E25)</f>
        <v>#REF!</v>
      </c>
      <c r="F26" s="105" t="e">
        <f>SUM(F21:F25)</f>
        <v>#REF!</v>
      </c>
      <c r="G26" s="105"/>
      <c r="H26" s="2"/>
      <c r="I26" s="2"/>
      <c r="J26" s="2"/>
      <c r="K26" s="2"/>
      <c r="L26" s="2"/>
      <c r="M26" s="2"/>
      <c r="N26" s="2"/>
      <c r="O26" s="2"/>
      <c r="P26" s="2"/>
      <c r="Q26" s="2"/>
      <c r="R26" s="2"/>
      <c r="S26" s="2"/>
      <c r="T26" s="2"/>
      <c r="U26" s="2"/>
      <c r="V26" s="2"/>
      <c r="W26" s="2"/>
      <c r="X26" s="2"/>
      <c r="Y26" s="2"/>
      <c r="Z26" s="2"/>
      <c r="AA26" s="2"/>
      <c r="AB26" s="2"/>
    </row>
    <row r="27" spans="1:28" s="104" customFormat="1" ht="6.75" customHeight="1" x14ac:dyDescent="0.3">
      <c r="A27" s="104" t="s">
        <v>15</v>
      </c>
      <c r="B27" s="105"/>
      <c r="C27" s="105"/>
      <c r="D27" s="105"/>
      <c r="E27" s="105"/>
      <c r="F27" s="105"/>
      <c r="G27" s="105"/>
      <c r="H27" s="2"/>
      <c r="I27" s="2"/>
      <c r="J27" s="2"/>
      <c r="K27" s="2"/>
      <c r="L27" s="2"/>
      <c r="M27" s="2"/>
      <c r="N27" s="2"/>
      <c r="O27" s="2"/>
      <c r="P27" s="2"/>
      <c r="Q27" s="2"/>
      <c r="R27" s="2"/>
      <c r="S27" s="2"/>
      <c r="T27" s="2"/>
      <c r="U27" s="2"/>
      <c r="V27" s="2"/>
      <c r="W27" s="2"/>
      <c r="X27" s="2"/>
      <c r="Y27" s="2"/>
      <c r="Z27" s="2"/>
      <c r="AA27" s="2"/>
      <c r="AB27" s="2"/>
    </row>
    <row r="28" spans="1:28" s="104" customFormat="1" ht="12.6" customHeight="1" x14ac:dyDescent="0.3">
      <c r="A28" s="219" t="s">
        <v>35</v>
      </c>
      <c r="B28" s="218"/>
      <c r="C28" s="218"/>
      <c r="D28" s="218"/>
      <c r="E28" s="109"/>
      <c r="F28" s="109"/>
      <c r="G28" s="105"/>
      <c r="H28" s="2"/>
      <c r="I28" s="2"/>
      <c r="J28" s="2"/>
      <c r="K28" s="2"/>
      <c r="L28" s="2"/>
      <c r="M28" s="2"/>
      <c r="N28" s="2"/>
      <c r="O28" s="2"/>
      <c r="P28" s="2"/>
      <c r="Q28" s="2"/>
      <c r="R28" s="2"/>
      <c r="S28" s="2"/>
      <c r="T28" s="2"/>
      <c r="U28" s="2"/>
      <c r="V28" s="2"/>
      <c r="W28" s="2"/>
      <c r="X28" s="2"/>
      <c r="Y28" s="2"/>
      <c r="Z28" s="2"/>
      <c r="AA28" s="2"/>
      <c r="AB28" s="2"/>
    </row>
    <row r="29" spans="1:28" s="78" customFormat="1" ht="12.6" customHeight="1" x14ac:dyDescent="0.3">
      <c r="A29" s="78" t="s">
        <v>388</v>
      </c>
      <c r="B29" s="78" t="e">
        <f>+'HS detail'!#REF!</f>
        <v>#REF!</v>
      </c>
      <c r="C29" s="78">
        <f>+'HS detail'!C78</f>
        <v>251040</v>
      </c>
      <c r="D29" s="78">
        <f>+'HS detail'!D78</f>
        <v>251040</v>
      </c>
      <c r="E29" s="78" t="e">
        <f>SUM(#REF!)</f>
        <v>#REF!</v>
      </c>
      <c r="F29" s="78" t="e">
        <f>SUM(#REF!)</f>
        <v>#REF!</v>
      </c>
      <c r="G29" s="77"/>
    </row>
    <row r="30" spans="1:28" s="78" customFormat="1" ht="12.6" customHeight="1" x14ac:dyDescent="0.3">
      <c r="A30" s="78" t="s">
        <v>196</v>
      </c>
      <c r="B30" s="77" t="e">
        <f>+'HS detail'!#REF!</f>
        <v>#REF!</v>
      </c>
      <c r="C30" s="77">
        <f>+'HS detail'!C79</f>
        <v>8333</v>
      </c>
      <c r="D30" s="77">
        <f>+'HS detail'!D79</f>
        <v>8333</v>
      </c>
      <c r="E30" s="77">
        <v>8333</v>
      </c>
      <c r="F30" s="77">
        <v>3943</v>
      </c>
      <c r="G30" s="77"/>
    </row>
    <row r="31" spans="1:28" s="78" customFormat="1" ht="12.6" customHeight="1" x14ac:dyDescent="0.3">
      <c r="A31" s="78" t="s">
        <v>75</v>
      </c>
      <c r="B31" s="81" t="e">
        <f>+'HS detail'!#REF!+'HS detail'!#REF!+'HS detail'!#REF!+'HS detail'!#REF!</f>
        <v>#REF!</v>
      </c>
      <c r="C31" s="81">
        <f>+'HS detail'!C80+'HS detail'!C81+'HS detail'!C82+'HS detail'!C83</f>
        <v>69475</v>
      </c>
      <c r="D31" s="81">
        <f>+'HS detail'!D80+'HS detail'!D81+'HS detail'!D82+'HS detail'!D83</f>
        <v>67475</v>
      </c>
      <c r="E31" s="82">
        <v>49800</v>
      </c>
      <c r="F31" s="82">
        <v>38636</v>
      </c>
      <c r="G31" s="77"/>
    </row>
    <row r="32" spans="1:28" s="2" customFormat="1" ht="12.6" customHeight="1" x14ac:dyDescent="0.3">
      <c r="A32" s="2" t="s">
        <v>36</v>
      </c>
      <c r="B32" s="110" t="e">
        <f t="shared" ref="B32:G32" si="0">SUM(B29:B31)</f>
        <v>#REF!</v>
      </c>
      <c r="C32" s="110">
        <f t="shared" si="0"/>
        <v>328848</v>
      </c>
      <c r="D32" s="110">
        <f t="shared" si="0"/>
        <v>326848</v>
      </c>
      <c r="E32" s="110" t="e">
        <f t="shared" si="0"/>
        <v>#REF!</v>
      </c>
      <c r="F32" s="110" t="e">
        <f t="shared" si="0"/>
        <v>#REF!</v>
      </c>
      <c r="G32" s="184">
        <f t="shared" si="0"/>
        <v>0</v>
      </c>
    </row>
    <row r="33" spans="1:28" ht="12.6" customHeight="1" x14ac:dyDescent="0.3">
      <c r="B33" s="82"/>
      <c r="C33" s="82"/>
      <c r="D33" s="82"/>
      <c r="E33" s="82"/>
      <c r="F33" s="82"/>
      <c r="G33" s="77"/>
    </row>
    <row r="34" spans="1:28" s="1" customFormat="1" ht="12.6" customHeight="1" x14ac:dyDescent="0.3">
      <c r="A34" s="219" t="s">
        <v>37</v>
      </c>
      <c r="B34" s="218"/>
      <c r="C34" s="218"/>
      <c r="D34" s="218"/>
      <c r="E34" s="109"/>
      <c r="F34" s="109"/>
      <c r="G34" s="105"/>
      <c r="H34" s="2"/>
      <c r="I34" s="2"/>
      <c r="J34" s="2"/>
      <c r="K34" s="2"/>
      <c r="L34" s="2"/>
      <c r="M34" s="2"/>
      <c r="N34" s="2"/>
      <c r="O34" s="2"/>
      <c r="P34" s="2"/>
      <c r="Q34" s="2"/>
      <c r="R34" s="2"/>
      <c r="S34" s="2"/>
      <c r="T34" s="2"/>
      <c r="U34" s="2"/>
      <c r="V34" s="2"/>
      <c r="W34" s="2"/>
      <c r="X34" s="2"/>
      <c r="Y34" s="2"/>
      <c r="Z34" s="2"/>
      <c r="AA34" s="2"/>
      <c r="AB34" s="2"/>
    </row>
    <row r="35" spans="1:28" s="78" customFormat="1" ht="12.6" customHeight="1" x14ac:dyDescent="0.3">
      <c r="A35" s="78" t="s">
        <v>388</v>
      </c>
      <c r="B35" s="82" t="e">
        <f>+'HS detail'!#REF!</f>
        <v>#REF!</v>
      </c>
      <c r="C35" s="82">
        <f>+'HS detail'!C91</f>
        <v>41715</v>
      </c>
      <c r="D35" s="82">
        <f>+'HS detail'!D91</f>
        <v>41715</v>
      </c>
      <c r="E35" s="82" t="e">
        <f>SUM(#REF!)</f>
        <v>#REF!</v>
      </c>
      <c r="F35" s="82" t="e">
        <f>SUM(#REF!)</f>
        <v>#REF!</v>
      </c>
      <c r="G35" s="77"/>
    </row>
    <row r="36" spans="1:28" s="78" customFormat="1" ht="12.6" customHeight="1" x14ac:dyDescent="0.3">
      <c r="A36" s="82" t="s">
        <v>2</v>
      </c>
      <c r="B36" s="82" t="e">
        <f>+'HS detail'!#REF!</f>
        <v>#REF!</v>
      </c>
      <c r="C36" s="82">
        <f>+'HS detail'!C92</f>
        <v>22792</v>
      </c>
      <c r="D36" s="82">
        <f>+'HS detail'!D92</f>
        <v>22792</v>
      </c>
      <c r="E36" s="82">
        <v>22792</v>
      </c>
      <c r="F36" s="82">
        <v>14204</v>
      </c>
      <c r="G36" s="77"/>
    </row>
    <row r="37" spans="1:28" s="78" customFormat="1" ht="12.6" customHeight="1" x14ac:dyDescent="0.3">
      <c r="A37" s="78" t="s">
        <v>38</v>
      </c>
      <c r="B37" s="82" t="e">
        <f>+'HS detail'!#REF!</f>
        <v>#REF!</v>
      </c>
      <c r="C37" s="82">
        <f>+'HS detail'!C93</f>
        <v>17000</v>
      </c>
      <c r="D37" s="82">
        <f>+'HS detail'!D93</f>
        <v>17000</v>
      </c>
      <c r="E37" s="82">
        <v>17000</v>
      </c>
      <c r="F37" s="82">
        <v>7401</v>
      </c>
      <c r="G37" s="77"/>
    </row>
    <row r="38" spans="1:28" s="78" customFormat="1" ht="12.6" customHeight="1" x14ac:dyDescent="0.3">
      <c r="A38" s="78" t="s">
        <v>39</v>
      </c>
      <c r="B38" s="81" t="e">
        <f>+'HS detail'!#REF!</f>
        <v>#REF!</v>
      </c>
      <c r="C38" s="81">
        <f>+'HS detail'!C94</f>
        <v>10000</v>
      </c>
      <c r="D38" s="81">
        <f>+'HS detail'!D94</f>
        <v>10000</v>
      </c>
      <c r="E38" s="81">
        <v>10000</v>
      </c>
      <c r="F38" s="81">
        <v>15892</v>
      </c>
      <c r="G38" s="77"/>
    </row>
    <row r="39" spans="1:28" s="2" customFormat="1" ht="12.6" customHeight="1" x14ac:dyDescent="0.3">
      <c r="A39" s="2" t="s">
        <v>56</v>
      </c>
      <c r="B39" s="110" t="e">
        <f t="shared" ref="B39:G39" si="1">SUM(B35:B38)</f>
        <v>#REF!</v>
      </c>
      <c r="C39" s="110">
        <f t="shared" si="1"/>
        <v>91507</v>
      </c>
      <c r="D39" s="110">
        <f t="shared" si="1"/>
        <v>91507</v>
      </c>
      <c r="E39" s="110" t="e">
        <f t="shared" si="1"/>
        <v>#REF!</v>
      </c>
      <c r="F39" s="110" t="e">
        <f t="shared" si="1"/>
        <v>#REF!</v>
      </c>
      <c r="G39" s="184">
        <f t="shared" si="1"/>
        <v>0</v>
      </c>
    </row>
    <row r="40" spans="1:28" ht="12.6" customHeight="1" x14ac:dyDescent="0.3">
      <c r="B40" s="79"/>
      <c r="C40" s="79"/>
      <c r="D40" s="79"/>
      <c r="E40" s="79"/>
      <c r="F40" s="79"/>
    </row>
    <row r="41" spans="1:28" s="1" customFormat="1" ht="12.6" customHeight="1" x14ac:dyDescent="0.3">
      <c r="A41" s="219" t="s">
        <v>40</v>
      </c>
      <c r="B41" s="218"/>
      <c r="C41" s="218"/>
      <c r="D41" s="218"/>
      <c r="E41" s="109"/>
      <c r="F41" s="109"/>
      <c r="G41" s="105"/>
      <c r="H41" s="2"/>
      <c r="I41" s="2"/>
      <c r="J41" s="2"/>
      <c r="K41" s="2"/>
      <c r="L41" s="2"/>
      <c r="M41" s="2"/>
      <c r="N41" s="2"/>
      <c r="O41" s="2"/>
      <c r="P41" s="2"/>
      <c r="Q41" s="2"/>
      <c r="R41" s="2"/>
      <c r="S41" s="2"/>
      <c r="T41" s="2"/>
      <c r="U41" s="2"/>
      <c r="V41" s="2"/>
      <c r="W41" s="2"/>
      <c r="X41" s="2"/>
      <c r="Y41" s="2"/>
      <c r="Z41" s="2"/>
      <c r="AA41" s="2"/>
      <c r="AB41" s="2"/>
    </row>
    <row r="42" spans="1:28" ht="14.4" x14ac:dyDescent="0.3">
      <c r="A42" s="78" t="s">
        <v>406</v>
      </c>
      <c r="B42" s="64" t="e">
        <f>+'HS detail'!#REF!+'HS detail'!#REF!</f>
        <v>#REF!</v>
      </c>
      <c r="C42" s="64">
        <f>+'HS detail'!C98+'HS detail'!C99</f>
        <v>209448</v>
      </c>
      <c r="D42" s="64">
        <f>+'HS detail'!D98+'HS detail'!D99</f>
        <v>166481</v>
      </c>
      <c r="E42" s="64">
        <v>43186</v>
      </c>
      <c r="F42" s="64">
        <v>48336</v>
      </c>
      <c r="G42" s="76"/>
    </row>
    <row r="43" spans="1:28" ht="14.4" x14ac:dyDescent="0.3">
      <c r="A43" s="78" t="s">
        <v>270</v>
      </c>
      <c r="B43" s="64" t="e">
        <f>+'HS detail'!#REF!</f>
        <v>#REF!</v>
      </c>
      <c r="C43" s="64">
        <f>+'HS detail'!C101</f>
        <v>3000</v>
      </c>
      <c r="D43" s="64">
        <f>+'HS detail'!D101</f>
        <v>3000</v>
      </c>
      <c r="E43" s="64">
        <v>160607</v>
      </c>
      <c r="F43" s="64">
        <v>161667</v>
      </c>
      <c r="G43" s="76"/>
    </row>
    <row r="44" spans="1:28" ht="14.4" x14ac:dyDescent="0.3">
      <c r="A44" s="78" t="s">
        <v>213</v>
      </c>
      <c r="B44" s="64" t="e">
        <f>+'HS detail'!#REF!+'HS detail'!#REF!+'HS detail'!#REF!</f>
        <v>#REF!</v>
      </c>
      <c r="C44" s="64">
        <f>+'HS detail'!C100+'HS detail'!C102+'HS detail'!C103</f>
        <v>10800</v>
      </c>
      <c r="D44" s="64">
        <f>+'HS detail'!D100+'HS detail'!D102+'HS detail'!D103</f>
        <v>8000</v>
      </c>
      <c r="E44" s="64">
        <v>1263</v>
      </c>
      <c r="F44" s="64">
        <v>2005</v>
      </c>
      <c r="G44" s="64" t="s">
        <v>363</v>
      </c>
    </row>
    <row r="45" spans="1:28" s="78" customFormat="1" ht="12.6" customHeight="1" x14ac:dyDescent="0.3">
      <c r="A45" s="78" t="s">
        <v>3</v>
      </c>
      <c r="B45" s="150" t="e">
        <f>+'HS detail'!#REF!</f>
        <v>#REF!</v>
      </c>
      <c r="C45" s="150">
        <f>+'HS detail'!C104</f>
        <v>74813</v>
      </c>
      <c r="D45" s="150">
        <f>+'HS detail'!D104</f>
        <v>74813</v>
      </c>
      <c r="E45" s="150">
        <v>73675</v>
      </c>
      <c r="F45" s="150">
        <v>69143</v>
      </c>
      <c r="G45" s="76" t="s">
        <v>244</v>
      </c>
    </row>
    <row r="46" spans="1:28" s="78" customFormat="1" ht="12.6" customHeight="1" x14ac:dyDescent="0.3">
      <c r="A46" s="2" t="s">
        <v>41</v>
      </c>
      <c r="B46" s="110" t="e">
        <f t="shared" ref="B46:G46" si="2">SUM(B42:B45)</f>
        <v>#REF!</v>
      </c>
      <c r="C46" s="110">
        <f t="shared" si="2"/>
        <v>298061</v>
      </c>
      <c r="D46" s="110">
        <f t="shared" si="2"/>
        <v>252294</v>
      </c>
      <c r="E46" s="110">
        <f t="shared" si="2"/>
        <v>278731</v>
      </c>
      <c r="F46" s="110">
        <f t="shared" si="2"/>
        <v>281151</v>
      </c>
      <c r="G46" s="184">
        <f t="shared" si="2"/>
        <v>0</v>
      </c>
    </row>
    <row r="47" spans="1:28" s="78" customFormat="1" ht="12.6" customHeight="1" x14ac:dyDescent="0.3">
      <c r="A47" s="104"/>
      <c r="B47" s="110"/>
      <c r="C47" s="110"/>
      <c r="D47" s="110"/>
      <c r="E47" s="110"/>
      <c r="F47" s="110"/>
      <c r="G47" s="184"/>
    </row>
    <row r="48" spans="1:28" s="78" customFormat="1" ht="12.6" customHeight="1" x14ac:dyDescent="0.3">
      <c r="A48" s="219" t="s">
        <v>20</v>
      </c>
      <c r="B48" s="221"/>
      <c r="C48" s="221"/>
      <c r="D48" s="221"/>
      <c r="E48" s="101"/>
      <c r="F48" s="101"/>
      <c r="G48" s="79"/>
    </row>
    <row r="49" spans="1:28" s="78" customFormat="1" ht="13.5" customHeight="1" x14ac:dyDescent="0.3">
      <c r="A49" s="78" t="s">
        <v>388</v>
      </c>
      <c r="B49" s="78" t="e">
        <f>+'HS detail'!#REF!</f>
        <v>#REF!</v>
      </c>
      <c r="C49" s="78">
        <f>+'HS detail'!C113</f>
        <v>266816</v>
      </c>
      <c r="D49" s="78">
        <f>+'HS detail'!D113</f>
        <v>258816</v>
      </c>
      <c r="E49" s="78" t="e">
        <f>SUM(#REF!)</f>
        <v>#REF!</v>
      </c>
      <c r="F49" s="78" t="e">
        <f>SUM(#REF!)</f>
        <v>#REF!</v>
      </c>
      <c r="G49" s="79"/>
    </row>
    <row r="50" spans="1:28" s="78" customFormat="1" ht="12.6" customHeight="1" x14ac:dyDescent="0.3">
      <c r="A50" s="78" t="s">
        <v>43</v>
      </c>
      <c r="B50" s="78" t="e">
        <f>+'HS detail'!#REF!+'HS detail'!#REF!+'HS detail'!#REF!</f>
        <v>#REF!</v>
      </c>
      <c r="C50" s="78">
        <f>+'HS detail'!C114+'HS detail'!C116+'HS detail'!C118</f>
        <v>9500</v>
      </c>
      <c r="D50" s="78">
        <f>+'HS detail'!D114+'HS detail'!D116+'HS detail'!D118</f>
        <v>9500</v>
      </c>
      <c r="E50" s="78">
        <v>3000</v>
      </c>
      <c r="F50" s="78">
        <v>4963</v>
      </c>
      <c r="G50" s="79"/>
    </row>
    <row r="51" spans="1:28" s="78" customFormat="1" ht="12.6" customHeight="1" x14ac:dyDescent="0.3">
      <c r="A51" s="78" t="s">
        <v>213</v>
      </c>
      <c r="B51" s="76" t="e">
        <f>+'HS detail'!#REF!+'HS detail'!#REF!</f>
        <v>#REF!</v>
      </c>
      <c r="C51" s="76">
        <f>+'HS detail'!C115+'HS detail'!C117</f>
        <v>2865</v>
      </c>
      <c r="D51" s="76">
        <f>+'HS detail'!D115+'HS detail'!D117</f>
        <v>2865</v>
      </c>
      <c r="E51" s="76">
        <v>1365</v>
      </c>
      <c r="F51" s="76">
        <v>1655</v>
      </c>
      <c r="G51" s="76"/>
    </row>
    <row r="52" spans="1:28" s="2" customFormat="1" ht="12.6" customHeight="1" x14ac:dyDescent="0.3">
      <c r="A52" s="78" t="s">
        <v>74</v>
      </c>
      <c r="B52" s="103" t="e">
        <f>+'HS detail'!#REF!</f>
        <v>#REF!</v>
      </c>
      <c r="C52" s="103">
        <f>+'HS detail'!C119</f>
        <v>2000</v>
      </c>
      <c r="D52" s="103">
        <f>+'HS detail'!D119</f>
        <v>2000</v>
      </c>
      <c r="E52" s="103">
        <v>2000</v>
      </c>
      <c r="F52" s="103">
        <v>2000</v>
      </c>
      <c r="G52" s="79"/>
    </row>
    <row r="53" spans="1:28" s="104" customFormat="1" ht="12.6" customHeight="1" x14ac:dyDescent="0.3">
      <c r="A53" s="2" t="s">
        <v>21</v>
      </c>
      <c r="B53" s="2" t="e">
        <f t="shared" ref="B53:G53" si="3">SUM(B49:B52)</f>
        <v>#REF!</v>
      </c>
      <c r="C53" s="2">
        <f t="shared" si="3"/>
        <v>281181</v>
      </c>
      <c r="D53" s="2">
        <f t="shared" si="3"/>
        <v>273181</v>
      </c>
      <c r="E53" s="2" t="e">
        <f t="shared" si="3"/>
        <v>#REF!</v>
      </c>
      <c r="F53" s="2" t="e">
        <f t="shared" si="3"/>
        <v>#REF!</v>
      </c>
      <c r="G53" s="105">
        <f t="shared" si="3"/>
        <v>0</v>
      </c>
      <c r="H53" s="2"/>
      <c r="I53" s="2"/>
      <c r="J53" s="2"/>
      <c r="K53" s="2"/>
      <c r="L53" s="2"/>
      <c r="M53" s="2"/>
      <c r="N53" s="2"/>
      <c r="O53" s="2"/>
      <c r="P53" s="2"/>
      <c r="Q53" s="2"/>
      <c r="R53" s="2"/>
      <c r="S53" s="2"/>
      <c r="T53" s="2"/>
      <c r="U53" s="2"/>
      <c r="V53" s="2"/>
      <c r="W53" s="2"/>
      <c r="X53" s="2"/>
      <c r="Y53" s="2"/>
      <c r="Z53" s="2"/>
      <c r="AA53" s="2"/>
      <c r="AB53" s="2"/>
    </row>
    <row r="54" spans="1:28" s="101" customFormat="1" ht="12.6" customHeight="1" x14ac:dyDescent="0.3">
      <c r="A54" s="104"/>
      <c r="B54" s="110"/>
      <c r="C54" s="110"/>
      <c r="D54" s="110"/>
      <c r="E54" s="110"/>
      <c r="F54" s="110"/>
      <c r="G54" s="184"/>
      <c r="H54" s="78"/>
      <c r="I54" s="78"/>
      <c r="J54" s="78"/>
      <c r="K54" s="78"/>
      <c r="L54" s="78"/>
      <c r="M54" s="78"/>
      <c r="N54" s="78"/>
      <c r="O54" s="78"/>
      <c r="P54" s="78"/>
      <c r="Q54" s="78"/>
      <c r="R54" s="78"/>
      <c r="S54" s="78"/>
      <c r="T54" s="78"/>
      <c r="U54" s="78"/>
      <c r="V54" s="78"/>
      <c r="W54" s="78"/>
      <c r="X54" s="78"/>
      <c r="Y54" s="78"/>
      <c r="Z54" s="78"/>
      <c r="AA54" s="78"/>
      <c r="AB54" s="78"/>
    </row>
    <row r="55" spans="1:28" s="78" customFormat="1" ht="13.5" customHeight="1" x14ac:dyDescent="0.3">
      <c r="A55" s="219" t="s">
        <v>51</v>
      </c>
      <c r="B55" s="221"/>
      <c r="C55" s="221"/>
      <c r="D55" s="221"/>
      <c r="E55" s="101"/>
      <c r="F55" s="101"/>
      <c r="G55" s="79"/>
    </row>
    <row r="56" spans="1:28" s="78" customFormat="1" ht="12" customHeight="1" x14ac:dyDescent="0.3">
      <c r="A56" s="78" t="s">
        <v>51</v>
      </c>
      <c r="B56" s="78" t="e">
        <f>+'HS detail'!#REF!</f>
        <v>#REF!</v>
      </c>
      <c r="C56" s="78">
        <f>+'HS detail'!C123</f>
        <v>35694</v>
      </c>
      <c r="D56" s="78">
        <f>+'HS detail'!D123</f>
        <v>0</v>
      </c>
      <c r="E56" s="78">
        <v>34542</v>
      </c>
      <c r="F56" s="78">
        <v>31939</v>
      </c>
      <c r="G56" s="79"/>
    </row>
    <row r="57" spans="1:28" s="2" customFormat="1" ht="12.6" customHeight="1" x14ac:dyDescent="0.3">
      <c r="A57" s="102" t="s">
        <v>44</v>
      </c>
      <c r="B57" s="103" t="e">
        <f>+'HS detail'!#REF!+'HS detail'!#REF!+'HS detail'!#REF!+'HS detail'!#REF!</f>
        <v>#REF!</v>
      </c>
      <c r="C57" s="103">
        <f>+'HS detail'!C124+'HS detail'!C125+'HS detail'!C126+'HS detail'!C127</f>
        <v>2800</v>
      </c>
      <c r="D57" s="103">
        <f>+'HS detail'!D124+'HS detail'!D125+'HS detail'!D126+'HS detail'!D127</f>
        <v>5700</v>
      </c>
      <c r="E57" s="103">
        <v>2600</v>
      </c>
      <c r="F57" s="103">
        <v>3069</v>
      </c>
      <c r="G57" s="79"/>
    </row>
    <row r="58" spans="1:28" s="104" customFormat="1" ht="12.6" customHeight="1" x14ac:dyDescent="0.3">
      <c r="A58" s="104" t="s">
        <v>32</v>
      </c>
      <c r="B58" s="2" t="e">
        <f t="shared" ref="B58:G58" si="4">SUM(B56:B57)</f>
        <v>#REF!</v>
      </c>
      <c r="C58" s="2">
        <f t="shared" si="4"/>
        <v>38494</v>
      </c>
      <c r="D58" s="2">
        <f t="shared" si="4"/>
        <v>5700</v>
      </c>
      <c r="E58" s="2">
        <f t="shared" si="4"/>
        <v>37142</v>
      </c>
      <c r="F58" s="2">
        <f t="shared" si="4"/>
        <v>35008</v>
      </c>
      <c r="G58" s="105">
        <f t="shared" si="4"/>
        <v>0</v>
      </c>
      <c r="H58" s="2"/>
      <c r="I58" s="2"/>
      <c r="J58" s="2"/>
      <c r="K58" s="2"/>
      <c r="L58" s="2"/>
      <c r="M58" s="2"/>
      <c r="N58" s="2"/>
      <c r="O58" s="2"/>
      <c r="P58" s="2"/>
      <c r="Q58" s="2"/>
      <c r="R58" s="2"/>
      <c r="S58" s="2"/>
      <c r="T58" s="2"/>
      <c r="U58" s="2"/>
      <c r="V58" s="2"/>
      <c r="W58" s="2"/>
      <c r="X58" s="2"/>
      <c r="Y58" s="2"/>
      <c r="Z58" s="2"/>
      <c r="AA58" s="2"/>
      <c r="AB58" s="2"/>
    </row>
    <row r="59" spans="1:28" s="101" customFormat="1" ht="12.6" customHeight="1" x14ac:dyDescent="0.3">
      <c r="A59" s="102"/>
      <c r="B59" s="78"/>
      <c r="C59" s="78"/>
      <c r="D59" s="78"/>
      <c r="E59" s="78"/>
      <c r="F59" s="78"/>
      <c r="G59" s="79"/>
      <c r="H59" s="78"/>
      <c r="I59" s="78"/>
      <c r="J59" s="78"/>
      <c r="K59" s="78"/>
      <c r="L59" s="78"/>
      <c r="M59" s="78"/>
      <c r="N59" s="78"/>
      <c r="O59" s="78"/>
      <c r="P59" s="78"/>
      <c r="Q59" s="78"/>
      <c r="R59" s="78"/>
      <c r="S59" s="78"/>
      <c r="T59" s="78"/>
      <c r="U59" s="78"/>
      <c r="V59" s="78"/>
      <c r="W59" s="78"/>
      <c r="X59" s="78"/>
      <c r="Y59" s="78"/>
      <c r="Z59" s="78"/>
      <c r="AA59" s="78"/>
      <c r="AB59" s="78"/>
    </row>
    <row r="60" spans="1:28" ht="14.4" x14ac:dyDescent="0.3">
      <c r="A60" s="219" t="s">
        <v>52</v>
      </c>
      <c r="B60" s="221"/>
      <c r="C60" s="221"/>
      <c r="D60" s="221"/>
      <c r="E60" s="101"/>
      <c r="F60" s="101"/>
    </row>
    <row r="61" spans="1:28" ht="14.4" x14ac:dyDescent="0.3">
      <c r="A61" s="78" t="s">
        <v>293</v>
      </c>
      <c r="B61" s="64" t="e">
        <f>+'HS detail'!#REF!</f>
        <v>#REF!</v>
      </c>
      <c r="C61" s="64">
        <f>+'HS detail'!C131</f>
        <v>34191</v>
      </c>
      <c r="D61" s="64">
        <f>+'HS detail'!D131</f>
        <v>0</v>
      </c>
      <c r="E61" s="64">
        <v>27241</v>
      </c>
      <c r="F61" s="64">
        <v>28395</v>
      </c>
      <c r="G61" s="76"/>
    </row>
    <row r="62" spans="1:28" ht="14.4" x14ac:dyDescent="0.3">
      <c r="A62" s="78" t="s">
        <v>154</v>
      </c>
      <c r="B62" s="64" t="e">
        <f>+'HS detail'!#REF!+'HS detail'!#REF!+'HS detail'!#REF!+'HS detail'!#REF!</f>
        <v>#REF!</v>
      </c>
      <c r="C62" s="64">
        <f>+'HS detail'!C132+'HS detail'!C133+'HS detail'!C134+'HS detail'!C138</f>
        <v>147700</v>
      </c>
      <c r="D62" s="64">
        <f>+'HS detail'!D132+'HS detail'!D133+'HS detail'!D134+'HS detail'!D138</f>
        <v>148700</v>
      </c>
      <c r="E62" s="64">
        <v>55000</v>
      </c>
      <c r="F62" s="64">
        <v>39740</v>
      </c>
      <c r="G62" s="76"/>
    </row>
    <row r="63" spans="1:28" ht="14.4" x14ac:dyDescent="0.3">
      <c r="A63" s="79" t="s">
        <v>46</v>
      </c>
      <c r="B63" s="103" t="e">
        <f>+'HS detail'!#REF!+'HS detail'!#REF!+'HS detail'!#REF!</f>
        <v>#REF!</v>
      </c>
      <c r="C63" s="103">
        <f>+'HS detail'!C135+'HS detail'!C136+'HS detail'!C137</f>
        <v>58500</v>
      </c>
      <c r="D63" s="103">
        <f>+'HS detail'!D135+'HS detail'!D136+'HS detail'!D137</f>
        <v>58500</v>
      </c>
      <c r="E63" s="79">
        <v>5000</v>
      </c>
      <c r="F63" s="79">
        <v>536</v>
      </c>
    </row>
    <row r="64" spans="1:28" s="111" customFormat="1" ht="12.6" customHeight="1" x14ac:dyDescent="0.3">
      <c r="A64" s="2" t="s">
        <v>33</v>
      </c>
      <c r="B64" s="2" t="e">
        <f t="shared" ref="B64:G64" si="5">SUM(B61:B63)</f>
        <v>#REF!</v>
      </c>
      <c r="C64" s="2">
        <f t="shared" si="5"/>
        <v>240391</v>
      </c>
      <c r="D64" s="2">
        <f t="shared" si="5"/>
        <v>207200</v>
      </c>
      <c r="E64" s="2">
        <f t="shared" si="5"/>
        <v>87241</v>
      </c>
      <c r="F64" s="2">
        <f t="shared" si="5"/>
        <v>68671</v>
      </c>
      <c r="G64" s="105">
        <f t="shared" si="5"/>
        <v>0</v>
      </c>
      <c r="H64" s="79"/>
      <c r="I64" s="79"/>
      <c r="J64" s="79"/>
      <c r="K64" s="79"/>
      <c r="L64" s="79"/>
      <c r="M64" s="79"/>
      <c r="N64" s="79"/>
      <c r="O64" s="79"/>
      <c r="P64" s="79"/>
      <c r="Q64" s="79"/>
      <c r="R64" s="79"/>
      <c r="S64" s="79"/>
      <c r="T64" s="79"/>
      <c r="U64" s="79"/>
      <c r="V64" s="79"/>
      <c r="W64" s="79"/>
      <c r="X64" s="79"/>
      <c r="Y64" s="79"/>
      <c r="Z64" s="79"/>
      <c r="AA64" s="79"/>
      <c r="AB64" s="79"/>
    </row>
    <row r="65" spans="1:8" s="78" customFormat="1" ht="12.6" customHeight="1" x14ac:dyDescent="0.3">
      <c r="G65" s="79"/>
    </row>
    <row r="66" spans="1:8" ht="12.6" customHeight="1" x14ac:dyDescent="0.3">
      <c r="A66" s="219" t="s">
        <v>53</v>
      </c>
      <c r="B66" s="221"/>
      <c r="C66" s="221"/>
      <c r="D66" s="221"/>
      <c r="E66" s="101"/>
      <c r="F66" s="101"/>
    </row>
    <row r="67" spans="1:8" ht="12.6" customHeight="1" x14ac:dyDescent="0.3">
      <c r="A67" s="78" t="s">
        <v>173</v>
      </c>
      <c r="B67" s="102" t="e">
        <f>+'HS detail'!#REF!</f>
        <v>#REF!</v>
      </c>
      <c r="C67" s="102">
        <f>+'HS detail'!C142</f>
        <v>0</v>
      </c>
      <c r="D67" s="102">
        <f>+'HS detail'!D142</f>
        <v>0</v>
      </c>
      <c r="E67" s="102">
        <v>44280</v>
      </c>
      <c r="F67" s="102">
        <v>33111</v>
      </c>
    </row>
    <row r="68" spans="1:8" s="78" customFormat="1" ht="12.6" customHeight="1" x14ac:dyDescent="0.3">
      <c r="A68" s="78" t="s">
        <v>87</v>
      </c>
      <c r="B68" s="79" t="e">
        <f>+'HS detail'!#REF!</f>
        <v>#REF!</v>
      </c>
      <c r="C68" s="79">
        <f>+'HS detail'!C143</f>
        <v>50000</v>
      </c>
      <c r="D68" s="79">
        <f>+'HS detail'!D143</f>
        <v>50000</v>
      </c>
      <c r="E68" s="79">
        <v>50000</v>
      </c>
      <c r="F68" s="79">
        <v>66506</v>
      </c>
      <c r="G68" s="79" t="s">
        <v>15</v>
      </c>
    </row>
    <row r="69" spans="1:8" ht="12.6" customHeight="1" x14ac:dyDescent="0.3">
      <c r="A69" s="78" t="s">
        <v>402</v>
      </c>
      <c r="B69" s="77" t="e">
        <f>+'HS detail'!#REF!</f>
        <v>#REF!</v>
      </c>
      <c r="C69" s="77">
        <f>+'HS detail'!C144</f>
        <v>17000</v>
      </c>
      <c r="D69" s="77">
        <f>+'HS detail'!D144</f>
        <v>17000</v>
      </c>
      <c r="E69" s="79">
        <v>15000</v>
      </c>
      <c r="F69" s="79">
        <v>12736</v>
      </c>
      <c r="H69" s="172" t="s">
        <v>15</v>
      </c>
    </row>
    <row r="70" spans="1:8" s="78" customFormat="1" ht="14.4" x14ac:dyDescent="0.3">
      <c r="A70" s="78" t="s">
        <v>11</v>
      </c>
      <c r="B70" s="103" t="e">
        <f>+'HS detail'!#REF!</f>
        <v>#REF!</v>
      </c>
      <c r="C70" s="103">
        <f>+'HS detail'!C145</f>
        <v>30000</v>
      </c>
      <c r="D70" s="103">
        <f>+'HS detail'!D145</f>
        <v>30000</v>
      </c>
      <c r="E70" s="103">
        <v>30000</v>
      </c>
      <c r="F70" s="103">
        <v>15481</v>
      </c>
      <c r="G70" s="79"/>
    </row>
    <row r="71" spans="1:8" s="78" customFormat="1" ht="12.6" customHeight="1" x14ac:dyDescent="0.3">
      <c r="A71" s="2" t="s">
        <v>34</v>
      </c>
      <c r="B71" s="105" t="e">
        <f t="shared" ref="B71:G71" si="6">SUM(B67:B70)</f>
        <v>#REF!</v>
      </c>
      <c r="C71" s="105">
        <f t="shared" si="6"/>
        <v>97000</v>
      </c>
      <c r="D71" s="105">
        <f t="shared" si="6"/>
        <v>97000</v>
      </c>
      <c r="E71" s="105">
        <f t="shared" si="6"/>
        <v>139280</v>
      </c>
      <c r="F71" s="105">
        <f t="shared" si="6"/>
        <v>127834</v>
      </c>
      <c r="G71" s="105">
        <f t="shared" si="6"/>
        <v>0</v>
      </c>
    </row>
    <row r="72" spans="1:8" s="78" customFormat="1" ht="14.4" x14ac:dyDescent="0.3">
      <c r="A72" s="102"/>
      <c r="B72" s="79"/>
      <c r="C72" s="79"/>
      <c r="D72" s="79"/>
      <c r="E72" s="79"/>
      <c r="F72" s="79"/>
      <c r="G72" s="79"/>
    </row>
    <row r="73" spans="1:8" s="78" customFormat="1" ht="14.25" customHeight="1" x14ac:dyDescent="0.3">
      <c r="A73" s="219" t="s">
        <v>72</v>
      </c>
      <c r="B73" s="218">
        <v>345000</v>
      </c>
      <c r="C73" s="218">
        <v>345000</v>
      </c>
      <c r="D73" s="218">
        <v>345000</v>
      </c>
      <c r="E73" s="109">
        <f>358000-2000</f>
        <v>356000</v>
      </c>
      <c r="F73" s="109">
        <v>370535</v>
      </c>
      <c r="G73" s="105" t="s">
        <v>344</v>
      </c>
    </row>
    <row r="74" spans="1:8" s="78" customFormat="1" ht="14.4" x14ac:dyDescent="0.3">
      <c r="A74" s="102"/>
      <c r="B74" s="79"/>
      <c r="C74" s="79"/>
      <c r="D74" s="79"/>
      <c r="E74" s="79"/>
      <c r="F74" s="79"/>
      <c r="G74" s="79"/>
    </row>
    <row r="75" spans="1:8" s="78" customFormat="1" ht="12.6" customHeight="1" x14ac:dyDescent="0.3">
      <c r="A75" s="219" t="s">
        <v>70</v>
      </c>
      <c r="B75" s="218">
        <v>10000</v>
      </c>
      <c r="C75" s="218">
        <v>10000</v>
      </c>
      <c r="D75" s="218">
        <v>10000</v>
      </c>
      <c r="E75" s="109">
        <v>10000</v>
      </c>
      <c r="F75" s="109">
        <v>8888</v>
      </c>
      <c r="G75" s="105"/>
    </row>
    <row r="76" spans="1:8" s="79" customFormat="1" ht="12.6" customHeight="1" x14ac:dyDescent="0.3">
      <c r="A76" s="78"/>
    </row>
    <row r="77" spans="1:8" s="78" customFormat="1" ht="12.6" customHeight="1" x14ac:dyDescent="0.3">
      <c r="A77" s="219" t="s">
        <v>165</v>
      </c>
      <c r="B77" s="219" t="e">
        <f>+'HS detail'!#REF!</f>
        <v>#REF!</v>
      </c>
      <c r="C77" s="219">
        <f>+'HS detail'!C166</f>
        <v>138706</v>
      </c>
      <c r="D77" s="219">
        <f>+'HS detail'!D166</f>
        <v>138706</v>
      </c>
      <c r="E77" s="1">
        <v>138706</v>
      </c>
      <c r="F77" s="1" t="e">
        <f>SUM(#REF!)</f>
        <v>#REF!</v>
      </c>
      <c r="G77" s="105" t="s">
        <v>15</v>
      </c>
    </row>
    <row r="78" spans="1:8" s="78" customFormat="1" ht="12.6" customHeight="1" x14ac:dyDescent="0.3">
      <c r="A78" s="2"/>
      <c r="B78" s="2"/>
      <c r="C78" s="2"/>
      <c r="D78" s="2"/>
      <c r="E78" s="2"/>
      <c r="F78" s="2"/>
      <c r="G78" s="105"/>
    </row>
    <row r="79" spans="1:8" s="78" customFormat="1" ht="14.25" customHeight="1" x14ac:dyDescent="0.3">
      <c r="A79" s="219" t="s">
        <v>105</v>
      </c>
      <c r="B79" s="220">
        <v>0</v>
      </c>
      <c r="C79" s="220">
        <v>0</v>
      </c>
      <c r="D79" s="220">
        <v>0</v>
      </c>
      <c r="E79" s="112">
        <v>0</v>
      </c>
      <c r="F79" s="112"/>
      <c r="G79" s="105">
        <v>0</v>
      </c>
    </row>
    <row r="80" spans="1:8" s="78" customFormat="1" ht="12.6" customHeight="1" x14ac:dyDescent="0.3">
      <c r="A80" s="2"/>
      <c r="B80" s="105"/>
      <c r="C80" s="105"/>
      <c r="D80" s="105"/>
      <c r="E80" s="105"/>
      <c r="F80" s="105"/>
      <c r="G80" s="105"/>
    </row>
    <row r="81" spans="1:8" s="78" customFormat="1" ht="15" customHeight="1" thickBot="1" x14ac:dyDescent="0.35">
      <c r="A81" s="219" t="s">
        <v>28</v>
      </c>
      <c r="B81" s="220" t="e">
        <f>+B77+B75+B73+B71+B64+B58+B53+B46+B39+B32+B26+B79</f>
        <v>#REF!</v>
      </c>
      <c r="C81" s="220">
        <f>+C77+C75+C73+C71+C64+C58+C53+C46+C39+C32+C26+C79</f>
        <v>3433555</v>
      </c>
      <c r="D81" s="220">
        <f>+D77+D75+D73+D71+D64+D58+D53+D46+D39+D32+D26+D79</f>
        <v>3311803</v>
      </c>
      <c r="E81" s="112" t="e">
        <f>+E77+E75+E73+E71+E64+E58+E53+E46+E39+E32+E26+E79</f>
        <v>#REF!</v>
      </c>
      <c r="F81" s="112" t="e">
        <f>+F77+F75+F73+F71+F64+F58+F53+F46+F39+F32+F26+F79</f>
        <v>#REF!</v>
      </c>
      <c r="G81" s="205" t="e">
        <f>+B81+B85+B86+B87</f>
        <v>#REF!</v>
      </c>
    </row>
    <row r="82" spans="1:8" s="78" customFormat="1" ht="12.6" customHeight="1" thickTop="1" x14ac:dyDescent="0.3">
      <c r="A82" s="102"/>
      <c r="G82" s="79"/>
    </row>
    <row r="83" spans="1:8" s="78" customFormat="1" ht="19.5" customHeight="1" x14ac:dyDescent="0.3">
      <c r="A83" s="159" t="s">
        <v>80</v>
      </c>
      <c r="B83" s="218" t="e">
        <f>+B16-B81</f>
        <v>#REF!</v>
      </c>
      <c r="C83" s="218">
        <f>+C16-C81</f>
        <v>124616</v>
      </c>
      <c r="D83" s="218">
        <f>+D16-D81</f>
        <v>202610.41000000015</v>
      </c>
      <c r="E83" s="109" t="e">
        <f>+E16-E81</f>
        <v>#REF!</v>
      </c>
      <c r="F83" s="109" t="e">
        <f>F16-F81</f>
        <v>#REF!</v>
      </c>
      <c r="G83" s="105" t="s">
        <v>15</v>
      </c>
    </row>
    <row r="84" spans="1:8" s="78" customFormat="1" ht="12.6" customHeight="1" x14ac:dyDescent="0.3">
      <c r="A84" s="55"/>
      <c r="B84" s="105"/>
      <c r="C84" s="105"/>
      <c r="D84" s="105"/>
      <c r="E84" s="105"/>
      <c r="F84" s="105"/>
      <c r="G84" s="105"/>
    </row>
    <row r="85" spans="1:8" s="64" customFormat="1" ht="15" customHeight="1" x14ac:dyDescent="0.3">
      <c r="A85" s="64" t="s">
        <v>334</v>
      </c>
      <c r="C85" s="64">
        <f>0.4*380000</f>
        <v>152000</v>
      </c>
      <c r="D85" s="64">
        <f>0.4*380000</f>
        <v>152000</v>
      </c>
    </row>
    <row r="86" spans="1:8" s="64" customFormat="1" ht="15" customHeight="1" x14ac:dyDescent="0.3">
      <c r="A86" s="64" t="s">
        <v>370</v>
      </c>
      <c r="C86" s="64">
        <v>13600</v>
      </c>
      <c r="D86" s="64">
        <v>13600</v>
      </c>
    </row>
    <row r="87" spans="1:8" s="64" customFormat="1" ht="15.75" customHeight="1" x14ac:dyDescent="0.3">
      <c r="A87" s="64" t="s">
        <v>335</v>
      </c>
      <c r="B87" s="66"/>
      <c r="C87" s="66">
        <v>90000</v>
      </c>
      <c r="D87" s="66">
        <v>90000</v>
      </c>
      <c r="E87" s="66"/>
    </row>
    <row r="88" spans="1:8" s="78" customFormat="1" ht="16.5" customHeight="1" x14ac:dyDescent="0.3">
      <c r="A88" s="156" t="s">
        <v>336</v>
      </c>
      <c r="B88" s="218" t="e">
        <f>+B83-B85-B87-B86</f>
        <v>#REF!</v>
      </c>
      <c r="C88" s="218">
        <f>+C83-C85-C87-C86</f>
        <v>-130984</v>
      </c>
      <c r="D88" s="218">
        <f>+D83-D85-D87-D86</f>
        <v>-52989.589999999851</v>
      </c>
      <c r="E88" s="105" t="e">
        <f>+E83-E85-E87</f>
        <v>#REF!</v>
      </c>
      <c r="F88" s="105"/>
      <c r="G88" s="105"/>
    </row>
    <row r="89" spans="1:8" s="78" customFormat="1" ht="5.25" customHeight="1" x14ac:dyDescent="0.3">
      <c r="A89" s="55"/>
      <c r="B89" s="105"/>
      <c r="C89" s="105"/>
      <c r="D89" s="105"/>
      <c r="E89" s="105"/>
      <c r="F89" s="105"/>
      <c r="G89" s="105"/>
    </row>
    <row r="90" spans="1:8" s="78" customFormat="1" ht="12.6" customHeight="1" x14ac:dyDescent="0.3">
      <c r="A90" s="75" t="s">
        <v>210</v>
      </c>
      <c r="B90" s="2">
        <v>1169835</v>
      </c>
      <c r="C90" s="2">
        <v>1169835</v>
      </c>
      <c r="D90" s="2">
        <v>1169835</v>
      </c>
      <c r="E90" s="2">
        <v>953007</v>
      </c>
      <c r="F90" s="2">
        <f>972474-19467</f>
        <v>953007</v>
      </c>
      <c r="G90" s="105"/>
    </row>
    <row r="91" spans="1:8" s="79" customFormat="1" ht="15" customHeight="1" thickBot="1" x14ac:dyDescent="0.35">
      <c r="A91" s="104" t="s">
        <v>278</v>
      </c>
      <c r="B91" s="176" t="e">
        <f>SUM(B88:B90)</f>
        <v>#REF!</v>
      </c>
      <c r="C91" s="176">
        <f>SUM(C88:C90)</f>
        <v>1038851</v>
      </c>
      <c r="D91" s="176">
        <f>SUM(D88:D90)</f>
        <v>1116845.4100000001</v>
      </c>
      <c r="E91" s="176" t="e">
        <f>SUM(E83:E90)</f>
        <v>#REF!</v>
      </c>
      <c r="F91" s="176" t="e">
        <f>SUM(F83:F90)</f>
        <v>#REF!</v>
      </c>
      <c r="G91" s="105"/>
      <c r="H91" s="186"/>
    </row>
    <row r="92" spans="1:8" s="79" customFormat="1" ht="15" customHeight="1" thickTop="1" x14ac:dyDescent="0.3">
      <c r="A92" s="104"/>
      <c r="B92" s="105"/>
      <c r="C92" s="105"/>
      <c r="D92" s="105"/>
      <c r="E92" s="105"/>
      <c r="F92" s="105"/>
      <c r="G92" s="105"/>
      <c r="H92" s="186"/>
    </row>
    <row r="93" spans="1:8" s="79" customFormat="1" ht="15" customHeight="1" x14ac:dyDescent="0.3">
      <c r="A93" s="104"/>
      <c r="B93" s="105"/>
      <c r="C93" s="105"/>
      <c r="D93" s="105"/>
      <c r="E93" s="105"/>
      <c r="F93" s="105"/>
      <c r="G93" s="105"/>
      <c r="H93" s="186"/>
    </row>
    <row r="94" spans="1:8" s="79" customFormat="1" ht="15" customHeight="1" x14ac:dyDescent="0.3">
      <c r="A94" s="104"/>
      <c r="B94" s="105"/>
      <c r="C94" s="105"/>
      <c r="D94" s="105"/>
      <c r="E94" s="105"/>
      <c r="F94" s="105"/>
      <c r="G94" s="105"/>
      <c r="H94" s="186"/>
    </row>
    <row r="95" spans="1:8" s="79" customFormat="1" ht="15" customHeight="1" x14ac:dyDescent="0.3">
      <c r="A95" s="104"/>
      <c r="B95" s="105"/>
      <c r="C95" s="105"/>
      <c r="D95" s="105"/>
      <c r="E95" s="105"/>
      <c r="F95" s="105"/>
      <c r="G95" s="105"/>
      <c r="H95" s="186"/>
    </row>
    <row r="96" spans="1:8" s="78" customFormat="1" ht="12.6" customHeight="1" x14ac:dyDescent="0.3">
      <c r="A96" s="102"/>
      <c r="B96" s="102"/>
      <c r="C96" s="102"/>
      <c r="D96" s="102"/>
      <c r="E96" s="102"/>
      <c r="F96" s="102"/>
      <c r="G96" s="79"/>
    </row>
    <row r="97" spans="1:28" s="78" customFormat="1" ht="12.6" customHeight="1" x14ac:dyDescent="0.3">
      <c r="A97" s="102"/>
      <c r="B97" s="120"/>
      <c r="C97" s="120"/>
      <c r="D97" s="120"/>
      <c r="E97" s="120"/>
      <c r="F97" s="120"/>
      <c r="G97" s="142"/>
    </row>
    <row r="98" spans="1:28" s="78" customFormat="1" ht="12.6" customHeight="1" x14ac:dyDescent="0.3">
      <c r="A98" s="102"/>
      <c r="G98" s="79"/>
    </row>
    <row r="99" spans="1:28" s="78" customFormat="1" ht="12.6" customHeight="1" x14ac:dyDescent="0.3">
      <c r="A99" s="102"/>
      <c r="G99" s="79"/>
    </row>
    <row r="100" spans="1:28" s="78" customFormat="1" ht="12.6" customHeight="1" x14ac:dyDescent="0.3">
      <c r="A100" s="102"/>
      <c r="G100" s="79"/>
    </row>
    <row r="101" spans="1:28" s="78" customFormat="1" ht="12.6" customHeight="1" x14ac:dyDescent="0.3">
      <c r="A101" s="206"/>
      <c r="G101" s="79"/>
    </row>
    <row r="102" spans="1:28" s="78" customFormat="1" ht="12.6" customHeight="1" x14ac:dyDescent="0.3">
      <c r="A102" s="102"/>
      <c r="G102" s="79"/>
    </row>
    <row r="103" spans="1:28" s="78" customFormat="1" ht="12.6" customHeight="1" x14ac:dyDescent="0.3">
      <c r="A103" s="102"/>
      <c r="G103" s="79"/>
    </row>
    <row r="104" spans="1:28" s="78" customFormat="1" ht="12.6" customHeight="1" x14ac:dyDescent="0.3">
      <c r="A104" s="102"/>
      <c r="G104" s="79"/>
    </row>
    <row r="105" spans="1:28" s="78" customFormat="1" ht="12.6" customHeight="1" x14ac:dyDescent="0.3">
      <c r="A105" s="102"/>
      <c r="G105" s="79"/>
    </row>
    <row r="106" spans="1:28" s="78" customFormat="1" ht="12.6" customHeight="1" x14ac:dyDescent="0.3">
      <c r="A106" s="102"/>
      <c r="G106" s="79"/>
    </row>
    <row r="107" spans="1:28" s="78" customFormat="1" ht="12.6" customHeight="1" x14ac:dyDescent="0.3">
      <c r="A107" s="102"/>
      <c r="G107" s="79"/>
    </row>
    <row r="108" spans="1:28" s="78" customFormat="1" ht="12.6" customHeight="1" x14ac:dyDescent="0.3">
      <c r="A108" s="102"/>
      <c r="G108" s="79"/>
    </row>
    <row r="109" spans="1:28" s="78" customFormat="1" ht="12.6" customHeight="1" x14ac:dyDescent="0.3">
      <c r="A109" s="102"/>
      <c r="G109" s="79"/>
    </row>
    <row r="110" spans="1:28" s="79" customFormat="1" ht="12.6" customHeight="1" x14ac:dyDescent="0.3">
      <c r="A110" s="102"/>
      <c r="B110" s="78"/>
      <c r="C110" s="78"/>
      <c r="D110" s="78"/>
      <c r="E110" s="78"/>
      <c r="F110" s="78"/>
      <c r="H110" s="78"/>
      <c r="I110" s="78"/>
      <c r="J110" s="78"/>
      <c r="K110" s="78"/>
      <c r="L110" s="78"/>
      <c r="M110" s="78"/>
      <c r="N110" s="78"/>
      <c r="O110" s="78"/>
      <c r="P110" s="78"/>
      <c r="Q110" s="78"/>
      <c r="R110" s="78"/>
      <c r="S110" s="78"/>
      <c r="T110" s="78"/>
      <c r="U110" s="78"/>
      <c r="V110" s="78"/>
      <c r="W110" s="78"/>
      <c r="X110" s="78"/>
      <c r="Y110" s="78"/>
      <c r="Z110" s="78"/>
      <c r="AA110" s="78"/>
      <c r="AB110" s="78"/>
    </row>
    <row r="111" spans="1:28" s="79" customFormat="1" ht="12.6" customHeight="1" x14ac:dyDescent="0.3">
      <c r="A111" s="102"/>
      <c r="B111" s="78"/>
      <c r="C111" s="78"/>
      <c r="D111" s="78"/>
      <c r="E111" s="78"/>
      <c r="F111" s="78"/>
      <c r="H111" s="78"/>
      <c r="I111" s="78"/>
      <c r="J111" s="78"/>
      <c r="K111" s="78"/>
      <c r="L111" s="78"/>
      <c r="M111" s="78"/>
      <c r="N111" s="78"/>
      <c r="O111" s="78"/>
      <c r="P111" s="78"/>
      <c r="Q111" s="78"/>
      <c r="R111" s="78"/>
      <c r="S111" s="78"/>
      <c r="T111" s="78"/>
      <c r="U111" s="78"/>
      <c r="V111" s="78"/>
      <c r="W111" s="78"/>
      <c r="X111" s="78"/>
      <c r="Y111" s="78"/>
      <c r="Z111" s="78"/>
      <c r="AA111" s="78"/>
      <c r="AB111" s="78"/>
    </row>
    <row r="112" spans="1:28" s="79" customFormat="1" ht="12.6" customHeight="1" x14ac:dyDescent="0.3">
      <c r="A112" s="102"/>
      <c r="B112" s="78"/>
      <c r="C112" s="78"/>
      <c r="D112" s="78"/>
      <c r="E112" s="78"/>
      <c r="F112" s="78"/>
      <c r="H112" s="78"/>
      <c r="I112" s="78"/>
      <c r="J112" s="78"/>
      <c r="K112" s="78"/>
      <c r="L112" s="78"/>
      <c r="M112" s="78"/>
      <c r="N112" s="78"/>
      <c r="O112" s="78"/>
      <c r="P112" s="78"/>
      <c r="Q112" s="78"/>
      <c r="R112" s="78"/>
      <c r="S112" s="78"/>
      <c r="T112" s="78"/>
      <c r="U112" s="78"/>
      <c r="V112" s="78"/>
      <c r="W112" s="78"/>
      <c r="X112" s="78"/>
      <c r="Y112" s="78"/>
      <c r="Z112" s="78"/>
      <c r="AA112" s="78"/>
      <c r="AB112" s="78"/>
    </row>
    <row r="113" spans="1:28" s="79" customFormat="1" ht="12.6" customHeight="1" x14ac:dyDescent="0.3">
      <c r="A113" s="102"/>
      <c r="B113" s="78"/>
      <c r="C113" s="78"/>
      <c r="D113" s="78"/>
      <c r="E113" s="78"/>
      <c r="F113" s="78"/>
      <c r="H113" s="78"/>
      <c r="I113" s="78"/>
      <c r="J113" s="78"/>
      <c r="K113" s="78"/>
      <c r="L113" s="78"/>
      <c r="M113" s="78"/>
      <c r="N113" s="78"/>
      <c r="O113" s="78"/>
      <c r="P113" s="78"/>
      <c r="Q113" s="78"/>
      <c r="R113" s="78"/>
      <c r="S113" s="78"/>
      <c r="T113" s="78"/>
      <c r="U113" s="78"/>
      <c r="V113" s="78"/>
      <c r="W113" s="78"/>
      <c r="X113" s="78"/>
      <c r="Y113" s="78"/>
      <c r="Z113" s="78"/>
      <c r="AA113" s="78"/>
      <c r="AB113" s="78"/>
    </row>
    <row r="114" spans="1:28" s="79" customFormat="1" ht="12.6" customHeight="1" x14ac:dyDescent="0.3">
      <c r="A114" s="102"/>
      <c r="B114" s="78"/>
      <c r="C114" s="78"/>
      <c r="D114" s="78"/>
      <c r="E114" s="78"/>
      <c r="F114" s="78"/>
      <c r="H114" s="78"/>
      <c r="I114" s="78"/>
      <c r="J114" s="78"/>
      <c r="K114" s="78"/>
      <c r="L114" s="78"/>
      <c r="M114" s="78"/>
      <c r="N114" s="78"/>
      <c r="O114" s="78"/>
      <c r="P114" s="78"/>
      <c r="Q114" s="78"/>
      <c r="R114" s="78"/>
      <c r="S114" s="78"/>
      <c r="T114" s="78"/>
      <c r="U114" s="78"/>
      <c r="V114" s="78"/>
      <c r="W114" s="78"/>
      <c r="X114" s="78"/>
      <c r="Y114" s="78"/>
      <c r="Z114" s="78"/>
      <c r="AA114" s="78"/>
      <c r="AB114" s="78"/>
    </row>
    <row r="115" spans="1:28" s="79" customFormat="1" ht="12.6" customHeight="1" x14ac:dyDescent="0.3">
      <c r="A115" s="102"/>
      <c r="B115" s="78"/>
      <c r="C115" s="78"/>
      <c r="D115" s="78"/>
      <c r="E115" s="78"/>
      <c r="F115" s="78"/>
      <c r="H115" s="78"/>
      <c r="I115" s="78"/>
      <c r="J115" s="78"/>
      <c r="K115" s="78"/>
      <c r="L115" s="78"/>
      <c r="M115" s="78"/>
      <c r="N115" s="78"/>
      <c r="O115" s="78"/>
      <c r="P115" s="78"/>
      <c r="Q115" s="78"/>
      <c r="R115" s="78"/>
      <c r="S115" s="78"/>
      <c r="T115" s="78"/>
      <c r="U115" s="78"/>
      <c r="V115" s="78"/>
      <c r="W115" s="78"/>
      <c r="X115" s="78"/>
      <c r="Y115" s="78"/>
      <c r="Z115" s="78"/>
      <c r="AA115" s="78"/>
      <c r="AB115" s="78"/>
    </row>
    <row r="116" spans="1:28" s="79" customFormat="1" ht="12.6" customHeight="1" x14ac:dyDescent="0.3">
      <c r="A116" s="102"/>
      <c r="B116" s="78"/>
      <c r="C116" s="78"/>
      <c r="D116" s="78"/>
      <c r="E116" s="78"/>
      <c r="F116" s="78"/>
      <c r="H116" s="78"/>
      <c r="I116" s="78"/>
      <c r="J116" s="78"/>
      <c r="K116" s="78"/>
      <c r="L116" s="78"/>
      <c r="M116" s="78"/>
      <c r="N116" s="78"/>
      <c r="O116" s="78"/>
      <c r="P116" s="78"/>
      <c r="Q116" s="78"/>
      <c r="R116" s="78"/>
      <c r="S116" s="78"/>
      <c r="T116" s="78"/>
      <c r="U116" s="78"/>
      <c r="V116" s="78"/>
      <c r="W116" s="78"/>
      <c r="X116" s="78"/>
      <c r="Y116" s="78"/>
      <c r="Z116" s="78"/>
      <c r="AA116" s="78"/>
      <c r="AB116" s="78"/>
    </row>
    <row r="117" spans="1:28" s="79" customFormat="1" ht="12.6" customHeight="1" x14ac:dyDescent="0.3">
      <c r="A117" s="102"/>
      <c r="B117" s="78"/>
      <c r="C117" s="78"/>
      <c r="D117" s="78"/>
      <c r="E117" s="78"/>
      <c r="F117" s="78"/>
      <c r="H117" s="78"/>
      <c r="I117" s="78"/>
      <c r="J117" s="78"/>
      <c r="K117" s="78"/>
      <c r="L117" s="78"/>
      <c r="M117" s="78"/>
      <c r="N117" s="78"/>
      <c r="O117" s="78"/>
      <c r="P117" s="78"/>
      <c r="Q117" s="78"/>
      <c r="R117" s="78"/>
      <c r="S117" s="78"/>
      <c r="T117" s="78"/>
      <c r="U117" s="78"/>
      <c r="V117" s="78"/>
      <c r="W117" s="78"/>
      <c r="X117" s="78"/>
      <c r="Y117" s="78"/>
      <c r="Z117" s="78"/>
      <c r="AA117" s="78"/>
      <c r="AB117" s="78"/>
    </row>
    <row r="118" spans="1:28" s="79" customFormat="1" ht="12.6" customHeight="1" x14ac:dyDescent="0.3">
      <c r="A118" s="102"/>
      <c r="B118" s="78"/>
      <c r="C118" s="78"/>
      <c r="D118" s="78"/>
      <c r="E118" s="78"/>
      <c r="F118" s="78"/>
      <c r="H118" s="78"/>
      <c r="I118" s="78"/>
      <c r="J118" s="78"/>
      <c r="K118" s="78"/>
      <c r="L118" s="78"/>
      <c r="M118" s="78"/>
      <c r="N118" s="78"/>
      <c r="O118" s="78"/>
      <c r="P118" s="78"/>
      <c r="Q118" s="78"/>
      <c r="R118" s="78"/>
      <c r="S118" s="78"/>
      <c r="T118" s="78"/>
      <c r="U118" s="78"/>
      <c r="V118" s="78"/>
      <c r="W118" s="78"/>
      <c r="X118" s="78"/>
      <c r="Y118" s="78"/>
      <c r="Z118" s="78"/>
      <c r="AA118" s="78"/>
      <c r="AB118" s="78"/>
    </row>
    <row r="119" spans="1:28" s="79" customFormat="1" ht="12.6" customHeight="1" x14ac:dyDescent="0.3">
      <c r="A119" s="102"/>
      <c r="B119" s="78"/>
      <c r="C119" s="78"/>
      <c r="D119" s="78"/>
      <c r="E119" s="78"/>
      <c r="F119" s="78"/>
      <c r="H119" s="78"/>
      <c r="I119" s="78"/>
      <c r="J119" s="78"/>
      <c r="K119" s="78"/>
      <c r="L119" s="78"/>
      <c r="M119" s="78"/>
      <c r="N119" s="78"/>
      <c r="O119" s="78"/>
      <c r="P119" s="78"/>
      <c r="Q119" s="78"/>
      <c r="R119" s="78"/>
      <c r="S119" s="78"/>
      <c r="T119" s="78"/>
      <c r="U119" s="78"/>
      <c r="V119" s="78"/>
      <c r="W119" s="78"/>
      <c r="X119" s="78"/>
      <c r="Y119" s="78"/>
      <c r="Z119" s="78"/>
      <c r="AA119" s="78"/>
      <c r="AB119" s="78"/>
    </row>
    <row r="120" spans="1:28" s="79" customFormat="1" ht="12.6" customHeight="1" x14ac:dyDescent="0.3">
      <c r="A120" s="102"/>
      <c r="B120" s="78"/>
      <c r="C120" s="78"/>
      <c r="D120" s="78"/>
      <c r="E120" s="78"/>
      <c r="F120" s="78"/>
      <c r="H120" s="78"/>
      <c r="I120" s="78"/>
      <c r="J120" s="78"/>
      <c r="K120" s="78"/>
      <c r="L120" s="78"/>
      <c r="M120" s="78"/>
      <c r="N120" s="78"/>
      <c r="O120" s="78"/>
      <c r="P120" s="78"/>
      <c r="Q120" s="78"/>
      <c r="R120" s="78"/>
      <c r="S120" s="78"/>
      <c r="T120" s="78"/>
      <c r="U120" s="78"/>
      <c r="V120" s="78"/>
      <c r="W120" s="78"/>
      <c r="X120" s="78"/>
      <c r="Y120" s="78"/>
      <c r="Z120" s="78"/>
      <c r="AA120" s="78"/>
      <c r="AB120" s="78"/>
    </row>
    <row r="121" spans="1:28" s="79" customFormat="1" ht="12.6" customHeight="1" x14ac:dyDescent="0.3">
      <c r="A121" s="102"/>
      <c r="B121" s="78"/>
      <c r="C121" s="78"/>
      <c r="D121" s="78"/>
      <c r="E121" s="78"/>
      <c r="F121" s="78"/>
      <c r="H121" s="78"/>
      <c r="I121" s="78"/>
      <c r="J121" s="78"/>
      <c r="K121" s="78"/>
      <c r="L121" s="78"/>
      <c r="M121" s="78"/>
      <c r="N121" s="78"/>
      <c r="O121" s="78"/>
      <c r="P121" s="78"/>
      <c r="Q121" s="78"/>
      <c r="R121" s="78"/>
      <c r="S121" s="78"/>
      <c r="T121" s="78"/>
      <c r="U121" s="78"/>
      <c r="V121" s="78"/>
      <c r="W121" s="78"/>
      <c r="X121" s="78"/>
      <c r="Y121" s="78"/>
      <c r="Z121" s="78"/>
      <c r="AA121" s="78"/>
      <c r="AB121" s="78"/>
    </row>
    <row r="122" spans="1:28" s="79" customFormat="1" ht="12.6" customHeight="1" x14ac:dyDescent="0.3">
      <c r="A122" s="102"/>
      <c r="B122" s="78"/>
      <c r="C122" s="78"/>
      <c r="D122" s="78"/>
      <c r="E122" s="78"/>
      <c r="F122" s="78"/>
      <c r="H122" s="78"/>
      <c r="I122" s="78"/>
      <c r="J122" s="78"/>
      <c r="K122" s="78"/>
      <c r="L122" s="78"/>
      <c r="M122" s="78"/>
      <c r="N122" s="78"/>
      <c r="O122" s="78"/>
      <c r="P122" s="78"/>
      <c r="Q122" s="78"/>
      <c r="R122" s="78"/>
      <c r="S122" s="78"/>
      <c r="T122" s="78"/>
      <c r="U122" s="78"/>
      <c r="V122" s="78"/>
      <c r="W122" s="78"/>
      <c r="X122" s="78"/>
      <c r="Y122" s="78"/>
      <c r="Z122" s="78"/>
      <c r="AA122" s="78"/>
      <c r="AB122" s="78"/>
    </row>
    <row r="123" spans="1:28" s="79" customFormat="1" ht="12.6" customHeight="1" x14ac:dyDescent="0.3">
      <c r="A123" s="102"/>
      <c r="B123" s="78"/>
      <c r="C123" s="78"/>
      <c r="D123" s="78"/>
      <c r="E123" s="78"/>
      <c r="F123" s="78"/>
      <c r="H123" s="78"/>
      <c r="I123" s="78"/>
      <c r="J123" s="78"/>
      <c r="K123" s="78"/>
      <c r="L123" s="78"/>
      <c r="M123" s="78"/>
      <c r="N123" s="78"/>
      <c r="O123" s="78"/>
      <c r="P123" s="78"/>
      <c r="Q123" s="78"/>
      <c r="R123" s="78"/>
      <c r="S123" s="78"/>
      <c r="T123" s="78"/>
      <c r="U123" s="78"/>
      <c r="V123" s="78"/>
      <c r="W123" s="78"/>
      <c r="X123" s="78"/>
      <c r="Y123" s="78"/>
      <c r="Z123" s="78"/>
      <c r="AA123" s="78"/>
      <c r="AB123" s="78"/>
    </row>
    <row r="124" spans="1:28" s="79" customFormat="1" ht="12.6" customHeight="1" x14ac:dyDescent="0.3">
      <c r="A124" s="102"/>
      <c r="B124" s="78"/>
      <c r="C124" s="78"/>
      <c r="D124" s="78"/>
      <c r="E124" s="78"/>
      <c r="F124" s="78"/>
      <c r="H124" s="78"/>
      <c r="I124" s="78"/>
      <c r="J124" s="78"/>
      <c r="K124" s="78"/>
      <c r="L124" s="78"/>
      <c r="M124" s="78"/>
      <c r="N124" s="78"/>
      <c r="O124" s="78"/>
      <c r="P124" s="78"/>
      <c r="Q124" s="78"/>
      <c r="R124" s="78"/>
      <c r="S124" s="78"/>
      <c r="T124" s="78"/>
      <c r="U124" s="78"/>
      <c r="V124" s="78"/>
      <c r="W124" s="78"/>
      <c r="X124" s="78"/>
      <c r="Y124" s="78"/>
      <c r="Z124" s="78"/>
      <c r="AA124" s="78"/>
      <c r="AB124" s="78"/>
    </row>
    <row r="125" spans="1:28" s="79" customFormat="1" ht="12.6" customHeight="1" x14ac:dyDescent="0.3">
      <c r="A125" s="102"/>
      <c r="B125" s="78"/>
      <c r="C125" s="78"/>
      <c r="D125" s="78"/>
      <c r="E125" s="78"/>
      <c r="F125" s="78"/>
      <c r="H125" s="78"/>
      <c r="I125" s="78"/>
      <c r="J125" s="78"/>
      <c r="K125" s="78"/>
      <c r="L125" s="78"/>
      <c r="M125" s="78"/>
      <c r="N125" s="78"/>
      <c r="O125" s="78"/>
      <c r="P125" s="78"/>
      <c r="Q125" s="78"/>
      <c r="R125" s="78"/>
      <c r="S125" s="78"/>
      <c r="T125" s="78"/>
      <c r="U125" s="78"/>
      <c r="V125" s="78"/>
      <c r="W125" s="78"/>
      <c r="X125" s="78"/>
      <c r="Y125" s="78"/>
      <c r="Z125" s="78"/>
      <c r="AA125" s="78"/>
      <c r="AB125" s="78"/>
    </row>
    <row r="126" spans="1:28" s="79" customFormat="1" ht="12.6" customHeight="1" x14ac:dyDescent="0.3">
      <c r="A126" s="102"/>
      <c r="B126" s="78"/>
      <c r="C126" s="78"/>
      <c r="D126" s="78"/>
      <c r="E126" s="78"/>
      <c r="F126" s="78"/>
      <c r="H126" s="78"/>
      <c r="I126" s="78"/>
      <c r="J126" s="78"/>
      <c r="K126" s="78"/>
      <c r="L126" s="78"/>
      <c r="M126" s="78"/>
      <c r="N126" s="78"/>
      <c r="O126" s="78"/>
      <c r="P126" s="78"/>
      <c r="Q126" s="78"/>
      <c r="R126" s="78"/>
      <c r="S126" s="78"/>
      <c r="T126" s="78"/>
      <c r="U126" s="78"/>
      <c r="V126" s="78"/>
      <c r="W126" s="78"/>
      <c r="X126" s="78"/>
      <c r="Y126" s="78"/>
      <c r="Z126" s="78"/>
      <c r="AA126" s="78"/>
      <c r="AB126" s="78"/>
    </row>
    <row r="127" spans="1:28" s="79" customFormat="1" ht="12.6" customHeight="1" x14ac:dyDescent="0.3">
      <c r="A127" s="102"/>
      <c r="B127" s="78"/>
      <c r="C127" s="78"/>
      <c r="D127" s="78"/>
      <c r="E127" s="78"/>
      <c r="F127" s="78"/>
      <c r="H127" s="78"/>
      <c r="I127" s="78"/>
      <c r="J127" s="78"/>
      <c r="K127" s="78"/>
      <c r="L127" s="78"/>
      <c r="M127" s="78"/>
      <c r="N127" s="78"/>
      <c r="O127" s="78"/>
      <c r="P127" s="78"/>
      <c r="Q127" s="78"/>
      <c r="R127" s="78"/>
      <c r="S127" s="78"/>
      <c r="T127" s="78"/>
      <c r="U127" s="78"/>
      <c r="V127" s="78"/>
      <c r="W127" s="78"/>
      <c r="X127" s="78"/>
      <c r="Y127" s="78"/>
      <c r="Z127" s="78"/>
      <c r="AA127" s="78"/>
      <c r="AB127" s="78"/>
    </row>
    <row r="128" spans="1:28" s="79" customFormat="1" ht="12.6" customHeight="1" x14ac:dyDescent="0.3">
      <c r="A128" s="102"/>
      <c r="B128" s="78"/>
      <c r="C128" s="78"/>
      <c r="D128" s="78"/>
      <c r="E128" s="78"/>
      <c r="F128" s="78"/>
      <c r="H128" s="78"/>
      <c r="I128" s="78"/>
      <c r="J128" s="78"/>
      <c r="K128" s="78"/>
      <c r="L128" s="78"/>
      <c r="M128" s="78"/>
      <c r="N128" s="78"/>
      <c r="O128" s="78"/>
      <c r="P128" s="78"/>
      <c r="Q128" s="78"/>
      <c r="R128" s="78"/>
      <c r="S128" s="78"/>
      <c r="T128" s="78"/>
      <c r="U128" s="78"/>
      <c r="V128" s="78"/>
      <c r="W128" s="78"/>
      <c r="X128" s="78"/>
      <c r="Y128" s="78"/>
      <c r="Z128" s="78"/>
      <c r="AA128" s="78"/>
      <c r="AB128" s="78"/>
    </row>
    <row r="129" spans="1:28" s="79" customFormat="1" ht="12.6" customHeight="1" x14ac:dyDescent="0.3">
      <c r="A129" s="102"/>
      <c r="B129" s="78"/>
      <c r="C129" s="78"/>
      <c r="D129" s="78"/>
      <c r="E129" s="78"/>
      <c r="F129" s="78"/>
      <c r="H129" s="78"/>
      <c r="I129" s="78"/>
      <c r="J129" s="78"/>
      <c r="K129" s="78"/>
      <c r="L129" s="78"/>
      <c r="M129" s="78"/>
      <c r="N129" s="78"/>
      <c r="O129" s="78"/>
      <c r="P129" s="78"/>
      <c r="Q129" s="78"/>
      <c r="R129" s="78"/>
      <c r="S129" s="78"/>
      <c r="T129" s="78"/>
      <c r="U129" s="78"/>
      <c r="V129" s="78"/>
      <c r="W129" s="78"/>
      <c r="X129" s="78"/>
      <c r="Y129" s="78"/>
      <c r="Z129" s="78"/>
      <c r="AA129" s="78"/>
      <c r="AB129" s="78"/>
    </row>
    <row r="130" spans="1:28" s="79" customFormat="1" ht="12.6" customHeight="1" x14ac:dyDescent="0.3">
      <c r="A130" s="102"/>
      <c r="B130" s="78"/>
      <c r="C130" s="78"/>
      <c r="D130" s="78"/>
      <c r="E130" s="78"/>
      <c r="F130" s="78"/>
      <c r="H130" s="78"/>
      <c r="I130" s="78"/>
      <c r="J130" s="78"/>
      <c r="K130" s="78"/>
      <c r="L130" s="78"/>
      <c r="M130" s="78"/>
      <c r="N130" s="78"/>
      <c r="O130" s="78"/>
      <c r="P130" s="78"/>
      <c r="Q130" s="78"/>
      <c r="R130" s="78"/>
      <c r="S130" s="78"/>
      <c r="T130" s="78"/>
      <c r="U130" s="78"/>
      <c r="V130" s="78"/>
      <c r="W130" s="78"/>
      <c r="X130" s="78"/>
      <c r="Y130" s="78"/>
      <c r="Z130" s="78"/>
      <c r="AA130" s="78"/>
      <c r="AB130" s="78"/>
    </row>
    <row r="131" spans="1:28" s="79" customFormat="1" ht="12.6" customHeight="1" x14ac:dyDescent="0.3">
      <c r="A131" s="102"/>
      <c r="B131" s="78"/>
      <c r="C131" s="78"/>
      <c r="D131" s="78"/>
      <c r="E131" s="78"/>
      <c r="F131" s="78"/>
      <c r="H131" s="78"/>
      <c r="I131" s="78"/>
      <c r="J131" s="78"/>
      <c r="K131" s="78"/>
      <c r="L131" s="78"/>
      <c r="M131" s="78"/>
      <c r="N131" s="78"/>
      <c r="O131" s="78"/>
      <c r="P131" s="78"/>
      <c r="Q131" s="78"/>
      <c r="R131" s="78"/>
      <c r="S131" s="78"/>
      <c r="T131" s="78"/>
      <c r="U131" s="78"/>
      <c r="V131" s="78"/>
      <c r="W131" s="78"/>
      <c r="X131" s="78"/>
      <c r="Y131" s="78"/>
      <c r="Z131" s="78"/>
      <c r="AA131" s="78"/>
      <c r="AB131" s="78"/>
    </row>
    <row r="132" spans="1:28" s="79" customFormat="1" ht="12.6" customHeight="1" x14ac:dyDescent="0.3">
      <c r="A132" s="102"/>
      <c r="B132" s="78"/>
      <c r="C132" s="78"/>
      <c r="D132" s="78"/>
      <c r="E132" s="78"/>
      <c r="F132" s="78"/>
      <c r="H132" s="78"/>
      <c r="I132" s="78"/>
      <c r="J132" s="78"/>
      <c r="K132" s="78"/>
      <c r="L132" s="78"/>
      <c r="M132" s="78"/>
      <c r="N132" s="78"/>
      <c r="O132" s="78"/>
      <c r="P132" s="78"/>
      <c r="Q132" s="78"/>
      <c r="R132" s="78"/>
      <c r="S132" s="78"/>
      <c r="T132" s="78"/>
      <c r="U132" s="78"/>
      <c r="V132" s="78"/>
      <c r="W132" s="78"/>
      <c r="X132" s="78"/>
      <c r="Y132" s="78"/>
      <c r="Z132" s="78"/>
      <c r="AA132" s="78"/>
      <c r="AB132" s="78"/>
    </row>
    <row r="133" spans="1:28" s="79" customFormat="1" ht="12.6" customHeight="1" x14ac:dyDescent="0.3">
      <c r="A133" s="102"/>
      <c r="B133" s="78"/>
      <c r="C133" s="78"/>
      <c r="D133" s="78"/>
      <c r="E133" s="78"/>
      <c r="F133" s="78"/>
      <c r="H133" s="78"/>
      <c r="I133" s="78"/>
      <c r="J133" s="78"/>
      <c r="K133" s="78"/>
      <c r="L133" s="78"/>
      <c r="M133" s="78"/>
      <c r="N133" s="78"/>
      <c r="O133" s="78"/>
      <c r="P133" s="78"/>
      <c r="Q133" s="78"/>
      <c r="R133" s="78"/>
      <c r="S133" s="78"/>
      <c r="T133" s="78"/>
      <c r="U133" s="78"/>
      <c r="V133" s="78"/>
      <c r="W133" s="78"/>
      <c r="X133" s="78"/>
      <c r="Y133" s="78"/>
      <c r="Z133" s="78"/>
      <c r="AA133" s="78"/>
      <c r="AB133" s="78"/>
    </row>
    <row r="134" spans="1:28" s="79" customFormat="1" ht="12.6" customHeight="1" x14ac:dyDescent="0.3">
      <c r="A134" s="102"/>
      <c r="B134" s="78"/>
      <c r="C134" s="78"/>
      <c r="D134" s="78"/>
      <c r="E134" s="78"/>
      <c r="F134" s="78"/>
      <c r="H134" s="78"/>
      <c r="I134" s="78"/>
      <c r="J134" s="78"/>
      <c r="K134" s="78"/>
      <c r="L134" s="78"/>
      <c r="M134" s="78"/>
      <c r="N134" s="78"/>
      <c r="O134" s="78"/>
      <c r="P134" s="78"/>
      <c r="Q134" s="78"/>
      <c r="R134" s="78"/>
      <c r="S134" s="78"/>
      <c r="T134" s="78"/>
      <c r="U134" s="78"/>
      <c r="V134" s="78"/>
      <c r="W134" s="78"/>
      <c r="X134" s="78"/>
      <c r="Y134" s="78"/>
      <c r="Z134" s="78"/>
      <c r="AA134" s="78"/>
      <c r="AB134" s="78"/>
    </row>
    <row r="135" spans="1:28" s="79" customFormat="1" ht="12.6" customHeight="1" x14ac:dyDescent="0.3">
      <c r="A135" s="102"/>
      <c r="B135" s="78"/>
      <c r="C135" s="78"/>
      <c r="D135" s="78"/>
      <c r="E135" s="78"/>
      <c r="F135" s="78"/>
      <c r="H135" s="78"/>
      <c r="I135" s="78"/>
      <c r="J135" s="78"/>
      <c r="K135" s="78"/>
      <c r="L135" s="78"/>
      <c r="M135" s="78"/>
      <c r="N135" s="78"/>
      <c r="O135" s="78"/>
      <c r="P135" s="78"/>
      <c r="Q135" s="78"/>
      <c r="R135" s="78"/>
      <c r="S135" s="78"/>
      <c r="T135" s="78"/>
      <c r="U135" s="78"/>
      <c r="V135" s="78"/>
      <c r="W135" s="78"/>
      <c r="X135" s="78"/>
      <c r="Y135" s="78"/>
      <c r="Z135" s="78"/>
      <c r="AA135" s="78"/>
      <c r="AB135" s="78"/>
    </row>
    <row r="136" spans="1:28" s="79" customFormat="1" ht="12.6" customHeight="1" x14ac:dyDescent="0.3">
      <c r="A136" s="102"/>
      <c r="B136" s="78"/>
      <c r="C136" s="78"/>
      <c r="D136" s="78"/>
      <c r="E136" s="78"/>
      <c r="F136" s="78"/>
      <c r="H136" s="78"/>
      <c r="I136" s="78"/>
      <c r="J136" s="78"/>
      <c r="K136" s="78"/>
      <c r="L136" s="78"/>
      <c r="M136" s="78"/>
      <c r="N136" s="78"/>
      <c r="O136" s="78"/>
      <c r="P136" s="78"/>
      <c r="Q136" s="78"/>
      <c r="R136" s="78"/>
      <c r="S136" s="78"/>
      <c r="T136" s="78"/>
      <c r="U136" s="78"/>
      <c r="V136" s="78"/>
      <c r="W136" s="78"/>
      <c r="X136" s="78"/>
      <c r="Y136" s="78"/>
      <c r="Z136" s="78"/>
      <c r="AA136" s="78"/>
      <c r="AB136" s="78"/>
    </row>
    <row r="137" spans="1:28" s="79" customFormat="1" ht="12.6" customHeight="1" x14ac:dyDescent="0.3">
      <c r="A137" s="102"/>
      <c r="B137" s="78"/>
      <c r="C137" s="78"/>
      <c r="D137" s="78"/>
      <c r="E137" s="78"/>
      <c r="F137" s="78"/>
      <c r="H137" s="78"/>
      <c r="I137" s="78"/>
      <c r="J137" s="78"/>
      <c r="K137" s="78"/>
      <c r="L137" s="78"/>
      <c r="M137" s="78"/>
      <c r="N137" s="78"/>
      <c r="O137" s="78"/>
      <c r="P137" s="78"/>
      <c r="Q137" s="78"/>
      <c r="R137" s="78"/>
      <c r="S137" s="78"/>
      <c r="T137" s="78"/>
      <c r="U137" s="78"/>
      <c r="V137" s="78"/>
      <c r="W137" s="78"/>
      <c r="X137" s="78"/>
      <c r="Y137" s="78"/>
      <c r="Z137" s="78"/>
      <c r="AA137" s="78"/>
      <c r="AB137" s="78"/>
    </row>
    <row r="138" spans="1:28" s="79" customFormat="1" ht="12.6" customHeight="1" x14ac:dyDescent="0.3">
      <c r="A138" s="102"/>
      <c r="B138" s="78"/>
      <c r="C138" s="78"/>
      <c r="D138" s="78"/>
      <c r="E138" s="78"/>
      <c r="F138" s="78"/>
      <c r="H138" s="78"/>
      <c r="I138" s="78"/>
      <c r="J138" s="78"/>
      <c r="K138" s="78"/>
      <c r="L138" s="78"/>
      <c r="M138" s="78"/>
      <c r="N138" s="78"/>
      <c r="O138" s="78"/>
      <c r="P138" s="78"/>
      <c r="Q138" s="78"/>
      <c r="R138" s="78"/>
      <c r="S138" s="78"/>
      <c r="T138" s="78"/>
      <c r="U138" s="78"/>
      <c r="V138" s="78"/>
      <c r="W138" s="78"/>
      <c r="X138" s="78"/>
      <c r="Y138" s="78"/>
      <c r="Z138" s="78"/>
      <c r="AA138" s="78"/>
      <c r="AB138" s="78"/>
    </row>
    <row r="139" spans="1:28" s="79" customFormat="1" ht="12.6" customHeight="1" x14ac:dyDescent="0.3">
      <c r="A139" s="102"/>
      <c r="B139" s="78"/>
      <c r="C139" s="78"/>
      <c r="D139" s="78"/>
      <c r="E139" s="78"/>
      <c r="F139" s="78"/>
      <c r="H139" s="78"/>
      <c r="I139" s="78"/>
      <c r="J139" s="78"/>
      <c r="K139" s="78"/>
      <c r="L139" s="78"/>
      <c r="M139" s="78"/>
      <c r="N139" s="78"/>
      <c r="O139" s="78"/>
      <c r="P139" s="78"/>
      <c r="Q139" s="78"/>
      <c r="R139" s="78"/>
      <c r="S139" s="78"/>
      <c r="T139" s="78"/>
      <c r="U139" s="78"/>
      <c r="V139" s="78"/>
      <c r="W139" s="78"/>
      <c r="X139" s="78"/>
      <c r="Y139" s="78"/>
      <c r="Z139" s="78"/>
      <c r="AA139" s="78"/>
      <c r="AB139" s="78"/>
    </row>
    <row r="140" spans="1:28" s="79" customFormat="1" ht="12.6" customHeight="1" x14ac:dyDescent="0.3">
      <c r="A140" s="102"/>
      <c r="B140" s="78"/>
      <c r="C140" s="78"/>
      <c r="D140" s="78"/>
      <c r="E140" s="78"/>
      <c r="F140" s="78"/>
      <c r="H140" s="78"/>
      <c r="I140" s="78"/>
      <c r="J140" s="78"/>
      <c r="K140" s="78"/>
      <c r="L140" s="78"/>
      <c r="M140" s="78"/>
      <c r="N140" s="78"/>
      <c r="O140" s="78"/>
      <c r="P140" s="78"/>
      <c r="Q140" s="78"/>
      <c r="R140" s="78"/>
      <c r="S140" s="78"/>
      <c r="T140" s="78"/>
      <c r="U140" s="78"/>
      <c r="V140" s="78"/>
      <c r="W140" s="78"/>
      <c r="X140" s="78"/>
      <c r="Y140" s="78"/>
      <c r="Z140" s="78"/>
      <c r="AA140" s="78"/>
      <c r="AB140" s="78"/>
    </row>
    <row r="141" spans="1:28" s="79" customFormat="1" ht="12.6" customHeight="1" x14ac:dyDescent="0.3">
      <c r="A141" s="102"/>
      <c r="B141" s="78"/>
      <c r="C141" s="78"/>
      <c r="D141" s="78"/>
      <c r="E141" s="78"/>
      <c r="F141" s="78"/>
      <c r="H141" s="78"/>
      <c r="I141" s="78"/>
      <c r="J141" s="78"/>
      <c r="K141" s="78"/>
      <c r="L141" s="78"/>
      <c r="M141" s="78"/>
      <c r="N141" s="78"/>
      <c r="O141" s="78"/>
      <c r="P141" s="78"/>
      <c r="Q141" s="78"/>
      <c r="R141" s="78"/>
      <c r="S141" s="78"/>
      <c r="T141" s="78"/>
      <c r="U141" s="78"/>
      <c r="V141" s="78"/>
      <c r="W141" s="78"/>
      <c r="X141" s="78"/>
      <c r="Y141" s="78"/>
      <c r="Z141" s="78"/>
      <c r="AA141" s="78"/>
      <c r="AB141" s="78"/>
    </row>
    <row r="142" spans="1:28" s="79" customFormat="1" ht="12.6" customHeight="1" x14ac:dyDescent="0.3">
      <c r="A142" s="102"/>
      <c r="B142" s="78"/>
      <c r="C142" s="78"/>
      <c r="D142" s="78"/>
      <c r="E142" s="78"/>
      <c r="F142" s="78"/>
      <c r="H142" s="78"/>
      <c r="I142" s="78"/>
      <c r="J142" s="78"/>
      <c r="K142" s="78"/>
      <c r="L142" s="78"/>
      <c r="M142" s="78"/>
      <c r="N142" s="78"/>
      <c r="O142" s="78"/>
      <c r="P142" s="78"/>
      <c r="Q142" s="78"/>
      <c r="R142" s="78"/>
      <c r="S142" s="78"/>
      <c r="T142" s="78"/>
      <c r="U142" s="78"/>
      <c r="V142" s="78"/>
      <c r="W142" s="78"/>
      <c r="X142" s="78"/>
      <c r="Y142" s="78"/>
      <c r="Z142" s="78"/>
      <c r="AA142" s="78"/>
      <c r="AB142" s="78"/>
    </row>
    <row r="143" spans="1:28" s="79" customFormat="1" ht="12.6" customHeight="1" x14ac:dyDescent="0.3">
      <c r="A143" s="102"/>
      <c r="B143" s="78"/>
      <c r="C143" s="78"/>
      <c r="D143" s="78"/>
      <c r="E143" s="78"/>
      <c r="F143" s="78"/>
      <c r="H143" s="78"/>
      <c r="I143" s="78"/>
      <c r="J143" s="78"/>
      <c r="K143" s="78"/>
      <c r="L143" s="78"/>
      <c r="M143" s="78"/>
      <c r="N143" s="78"/>
      <c r="O143" s="78"/>
      <c r="P143" s="78"/>
      <c r="Q143" s="78"/>
      <c r="R143" s="78"/>
      <c r="S143" s="78"/>
      <c r="T143" s="78"/>
      <c r="U143" s="78"/>
      <c r="V143" s="78"/>
      <c r="W143" s="78"/>
      <c r="X143" s="78"/>
      <c r="Y143" s="78"/>
      <c r="Z143" s="78"/>
      <c r="AA143" s="78"/>
      <c r="AB143" s="78"/>
    </row>
    <row r="144" spans="1:28" s="79" customFormat="1" ht="12.6" customHeight="1" x14ac:dyDescent="0.3">
      <c r="A144" s="102"/>
      <c r="B144" s="78"/>
      <c r="C144" s="78"/>
      <c r="D144" s="78"/>
      <c r="E144" s="78"/>
      <c r="F144" s="78"/>
      <c r="H144" s="78"/>
      <c r="I144" s="78"/>
      <c r="J144" s="78"/>
      <c r="K144" s="78"/>
      <c r="L144" s="78"/>
      <c r="M144" s="78"/>
      <c r="N144" s="78"/>
      <c r="O144" s="78"/>
      <c r="P144" s="78"/>
      <c r="Q144" s="78"/>
      <c r="R144" s="78"/>
      <c r="S144" s="78"/>
      <c r="T144" s="78"/>
      <c r="U144" s="78"/>
      <c r="V144" s="78"/>
      <c r="W144" s="78"/>
      <c r="X144" s="78"/>
      <c r="Y144" s="78"/>
      <c r="Z144" s="78"/>
      <c r="AA144" s="78"/>
      <c r="AB144" s="78"/>
    </row>
    <row r="145" spans="1:28" s="79" customFormat="1" ht="12.6" customHeight="1" x14ac:dyDescent="0.3">
      <c r="A145" s="102"/>
      <c r="B145" s="78"/>
      <c r="C145" s="78"/>
      <c r="D145" s="78"/>
      <c r="E145" s="78"/>
      <c r="F145" s="78"/>
      <c r="H145" s="78"/>
      <c r="I145" s="78"/>
      <c r="J145" s="78"/>
      <c r="K145" s="78"/>
      <c r="L145" s="78"/>
      <c r="M145" s="78"/>
      <c r="N145" s="78"/>
      <c r="O145" s="78"/>
      <c r="P145" s="78"/>
      <c r="Q145" s="78"/>
      <c r="R145" s="78"/>
      <c r="S145" s="78"/>
      <c r="T145" s="78"/>
      <c r="U145" s="78"/>
      <c r="V145" s="78"/>
      <c r="W145" s="78"/>
      <c r="X145" s="78"/>
      <c r="Y145" s="78"/>
      <c r="Z145" s="78"/>
      <c r="AA145" s="78"/>
      <c r="AB145" s="78"/>
    </row>
    <row r="146" spans="1:28" s="79" customFormat="1" ht="12.6" customHeight="1" x14ac:dyDescent="0.3">
      <c r="A146" s="102"/>
      <c r="B146" s="78"/>
      <c r="C146" s="78"/>
      <c r="D146" s="78"/>
      <c r="E146" s="78"/>
      <c r="F146" s="78"/>
      <c r="H146" s="78"/>
      <c r="I146" s="78"/>
      <c r="J146" s="78"/>
      <c r="K146" s="78"/>
      <c r="L146" s="78"/>
      <c r="M146" s="78"/>
      <c r="N146" s="78"/>
      <c r="O146" s="78"/>
      <c r="P146" s="78"/>
      <c r="Q146" s="78"/>
      <c r="R146" s="78"/>
      <c r="S146" s="78"/>
      <c r="T146" s="78"/>
      <c r="U146" s="78"/>
      <c r="V146" s="78"/>
      <c r="W146" s="78"/>
      <c r="X146" s="78"/>
      <c r="Y146" s="78"/>
      <c r="Z146" s="78"/>
      <c r="AA146" s="78"/>
      <c r="AB146" s="78"/>
    </row>
    <row r="147" spans="1:28" s="79" customFormat="1" ht="12.6" customHeight="1" x14ac:dyDescent="0.3">
      <c r="A147" s="102"/>
      <c r="B147" s="78"/>
      <c r="C147" s="78"/>
      <c r="D147" s="78"/>
      <c r="E147" s="78"/>
      <c r="F147" s="78"/>
      <c r="H147" s="78"/>
      <c r="I147" s="78"/>
      <c r="J147" s="78"/>
      <c r="K147" s="78"/>
      <c r="L147" s="78"/>
      <c r="M147" s="78"/>
      <c r="N147" s="78"/>
      <c r="O147" s="78"/>
      <c r="P147" s="78"/>
      <c r="Q147" s="78"/>
      <c r="R147" s="78"/>
      <c r="S147" s="78"/>
      <c r="T147" s="78"/>
      <c r="U147" s="78"/>
      <c r="V147" s="78"/>
      <c r="W147" s="78"/>
      <c r="X147" s="78"/>
      <c r="Y147" s="78"/>
      <c r="Z147" s="78"/>
      <c r="AA147" s="78"/>
      <c r="AB147" s="78"/>
    </row>
    <row r="148" spans="1:28" s="79" customFormat="1" ht="12.6" customHeight="1" x14ac:dyDescent="0.3">
      <c r="A148" s="102"/>
      <c r="B148" s="78"/>
      <c r="C148" s="78"/>
      <c r="D148" s="78"/>
      <c r="E148" s="78"/>
      <c r="F148" s="78"/>
      <c r="H148" s="78"/>
      <c r="I148" s="78"/>
      <c r="J148" s="78"/>
      <c r="K148" s="78"/>
      <c r="L148" s="78"/>
      <c r="M148" s="78"/>
      <c r="N148" s="78"/>
      <c r="O148" s="78"/>
      <c r="P148" s="78"/>
      <c r="Q148" s="78"/>
      <c r="R148" s="78"/>
      <c r="S148" s="78"/>
      <c r="T148" s="78"/>
      <c r="U148" s="78"/>
      <c r="V148" s="78"/>
      <c r="W148" s="78"/>
      <c r="X148" s="78"/>
      <c r="Y148" s="78"/>
      <c r="Z148" s="78"/>
      <c r="AA148" s="78"/>
      <c r="AB148" s="78"/>
    </row>
    <row r="149" spans="1:28" s="79" customFormat="1" ht="12.6" customHeight="1" x14ac:dyDescent="0.3">
      <c r="A149" s="102"/>
      <c r="B149" s="78"/>
      <c r="C149" s="78"/>
      <c r="D149" s="78"/>
      <c r="E149" s="78"/>
      <c r="F149" s="78"/>
      <c r="H149" s="78"/>
      <c r="I149" s="78"/>
      <c r="J149" s="78"/>
      <c r="K149" s="78"/>
      <c r="L149" s="78"/>
      <c r="M149" s="78"/>
      <c r="N149" s="78"/>
      <c r="O149" s="78"/>
      <c r="P149" s="78"/>
      <c r="Q149" s="78"/>
      <c r="R149" s="78"/>
      <c r="S149" s="78"/>
      <c r="T149" s="78"/>
      <c r="U149" s="78"/>
      <c r="V149" s="78"/>
      <c r="W149" s="78"/>
      <c r="X149" s="78"/>
      <c r="Y149" s="78"/>
      <c r="Z149" s="78"/>
      <c r="AA149" s="78"/>
      <c r="AB149" s="78"/>
    </row>
    <row r="150" spans="1:28" s="79" customFormat="1" ht="12.6" customHeight="1" x14ac:dyDescent="0.3">
      <c r="A150" s="102"/>
      <c r="B150" s="78"/>
      <c r="C150" s="78"/>
      <c r="D150" s="78"/>
      <c r="E150" s="78"/>
      <c r="F150" s="78"/>
      <c r="H150" s="78"/>
      <c r="I150" s="78"/>
      <c r="J150" s="78"/>
      <c r="K150" s="78"/>
      <c r="L150" s="78"/>
      <c r="M150" s="78"/>
      <c r="N150" s="78"/>
      <c r="O150" s="78"/>
      <c r="P150" s="78"/>
      <c r="Q150" s="78"/>
      <c r="R150" s="78"/>
      <c r="S150" s="78"/>
      <c r="T150" s="78"/>
      <c r="U150" s="78"/>
      <c r="V150" s="78"/>
      <c r="W150" s="78"/>
      <c r="X150" s="78"/>
      <c r="Y150" s="78"/>
      <c r="Z150" s="78"/>
      <c r="AA150" s="78"/>
      <c r="AB150" s="78"/>
    </row>
    <row r="151" spans="1:28" s="79" customFormat="1" ht="12.6" customHeight="1" x14ac:dyDescent="0.3">
      <c r="A151" s="102"/>
      <c r="B151" s="78"/>
      <c r="C151" s="78"/>
      <c r="D151" s="78"/>
      <c r="E151" s="78"/>
      <c r="F151" s="78"/>
      <c r="H151" s="78"/>
      <c r="I151" s="78"/>
      <c r="J151" s="78"/>
      <c r="K151" s="78"/>
      <c r="L151" s="78"/>
      <c r="M151" s="78"/>
      <c r="N151" s="78"/>
      <c r="O151" s="78"/>
      <c r="P151" s="78"/>
      <c r="Q151" s="78"/>
      <c r="R151" s="78"/>
      <c r="S151" s="78"/>
      <c r="T151" s="78"/>
      <c r="U151" s="78"/>
      <c r="V151" s="78"/>
      <c r="W151" s="78"/>
      <c r="X151" s="78"/>
      <c r="Y151" s="78"/>
      <c r="Z151" s="78"/>
      <c r="AA151" s="78"/>
      <c r="AB151" s="78"/>
    </row>
    <row r="152" spans="1:28" s="79" customFormat="1" ht="12.6" customHeight="1" x14ac:dyDescent="0.3">
      <c r="A152" s="102"/>
      <c r="B152" s="78"/>
      <c r="C152" s="78"/>
      <c r="D152" s="78"/>
      <c r="E152" s="78"/>
      <c r="F152" s="78"/>
      <c r="H152" s="78"/>
      <c r="I152" s="78"/>
      <c r="J152" s="78"/>
      <c r="K152" s="78"/>
      <c r="L152" s="78"/>
      <c r="M152" s="78"/>
      <c r="N152" s="78"/>
      <c r="O152" s="78"/>
      <c r="P152" s="78"/>
      <c r="Q152" s="78"/>
      <c r="R152" s="78"/>
      <c r="S152" s="78"/>
      <c r="T152" s="78"/>
      <c r="U152" s="78"/>
      <c r="V152" s="78"/>
      <c r="W152" s="78"/>
      <c r="X152" s="78"/>
      <c r="Y152" s="78"/>
      <c r="Z152" s="78"/>
      <c r="AA152" s="78"/>
      <c r="AB152" s="78"/>
    </row>
    <row r="153" spans="1:28" s="79" customFormat="1" ht="12.6" customHeight="1" x14ac:dyDescent="0.3">
      <c r="A153" s="102"/>
      <c r="B153" s="78"/>
      <c r="C153" s="78"/>
      <c r="D153" s="78"/>
      <c r="E153" s="78"/>
      <c r="F153" s="78"/>
      <c r="H153" s="78"/>
      <c r="I153" s="78"/>
      <c r="J153" s="78"/>
      <c r="K153" s="78"/>
      <c r="L153" s="78"/>
      <c r="M153" s="78"/>
      <c r="N153" s="78"/>
      <c r="O153" s="78"/>
      <c r="P153" s="78"/>
      <c r="Q153" s="78"/>
      <c r="R153" s="78"/>
      <c r="S153" s="78"/>
      <c r="T153" s="78"/>
      <c r="U153" s="78"/>
      <c r="V153" s="78"/>
      <c r="W153" s="78"/>
      <c r="X153" s="78"/>
      <c r="Y153" s="78"/>
      <c r="Z153" s="78"/>
      <c r="AA153" s="78"/>
      <c r="AB153" s="78"/>
    </row>
    <row r="154" spans="1:28" s="79" customFormat="1" ht="12.6" customHeight="1" x14ac:dyDescent="0.3">
      <c r="A154" s="102"/>
      <c r="B154" s="78"/>
      <c r="C154" s="78"/>
      <c r="D154" s="78"/>
      <c r="E154" s="78"/>
      <c r="F154" s="78"/>
      <c r="H154" s="78"/>
      <c r="I154" s="78"/>
      <c r="J154" s="78"/>
      <c r="K154" s="78"/>
      <c r="L154" s="78"/>
      <c r="M154" s="78"/>
      <c r="N154" s="78"/>
      <c r="O154" s="78"/>
      <c r="P154" s="78"/>
      <c r="Q154" s="78"/>
      <c r="R154" s="78"/>
      <c r="S154" s="78"/>
      <c r="T154" s="78"/>
      <c r="U154" s="78"/>
      <c r="V154" s="78"/>
      <c r="W154" s="78"/>
      <c r="X154" s="78"/>
      <c r="Y154" s="78"/>
      <c r="Z154" s="78"/>
      <c r="AA154" s="78"/>
      <c r="AB154" s="78"/>
    </row>
    <row r="155" spans="1:28" s="79" customFormat="1" ht="12.6" customHeight="1" x14ac:dyDescent="0.3">
      <c r="A155" s="102"/>
      <c r="B155" s="78"/>
      <c r="C155" s="78"/>
      <c r="D155" s="78"/>
      <c r="E155" s="78"/>
      <c r="F155" s="78"/>
      <c r="H155" s="78"/>
      <c r="I155" s="78"/>
      <c r="J155" s="78"/>
      <c r="K155" s="78"/>
      <c r="L155" s="78"/>
      <c r="M155" s="78"/>
      <c r="N155" s="78"/>
      <c r="O155" s="78"/>
      <c r="P155" s="78"/>
      <c r="Q155" s="78"/>
      <c r="R155" s="78"/>
      <c r="S155" s="78"/>
      <c r="T155" s="78"/>
      <c r="U155" s="78"/>
      <c r="V155" s="78"/>
      <c r="W155" s="78"/>
      <c r="X155" s="78"/>
      <c r="Y155" s="78"/>
      <c r="Z155" s="78"/>
      <c r="AA155" s="78"/>
      <c r="AB155" s="78"/>
    </row>
    <row r="156" spans="1:28" s="79" customFormat="1" ht="12.6" customHeight="1" x14ac:dyDescent="0.3">
      <c r="A156" s="102"/>
      <c r="B156" s="78"/>
      <c r="C156" s="78"/>
      <c r="D156" s="78"/>
      <c r="E156" s="78"/>
      <c r="F156" s="78"/>
      <c r="H156" s="78"/>
      <c r="I156" s="78"/>
      <c r="J156" s="78"/>
      <c r="K156" s="78"/>
      <c r="L156" s="78"/>
      <c r="M156" s="78"/>
      <c r="N156" s="78"/>
      <c r="O156" s="78"/>
      <c r="P156" s="78"/>
      <c r="Q156" s="78"/>
      <c r="R156" s="78"/>
      <c r="S156" s="78"/>
      <c r="T156" s="78"/>
      <c r="U156" s="78"/>
      <c r="V156" s="78"/>
      <c r="W156" s="78"/>
      <c r="X156" s="78"/>
      <c r="Y156" s="78"/>
      <c r="Z156" s="78"/>
      <c r="AA156" s="78"/>
      <c r="AB156" s="78"/>
    </row>
    <row r="157" spans="1:28" s="79" customFormat="1" ht="12.6" customHeight="1" x14ac:dyDescent="0.3">
      <c r="A157" s="102"/>
      <c r="B157" s="78"/>
      <c r="C157" s="78"/>
      <c r="D157" s="78"/>
      <c r="E157" s="78"/>
      <c r="F157" s="78"/>
      <c r="H157" s="78"/>
      <c r="I157" s="78"/>
      <c r="J157" s="78"/>
      <c r="K157" s="78"/>
      <c r="L157" s="78"/>
      <c r="M157" s="78"/>
      <c r="N157" s="78"/>
      <c r="O157" s="78"/>
      <c r="P157" s="78"/>
      <c r="Q157" s="78"/>
      <c r="R157" s="78"/>
      <c r="S157" s="78"/>
      <c r="T157" s="78"/>
      <c r="U157" s="78"/>
      <c r="V157" s="78"/>
      <c r="W157" s="78"/>
      <c r="X157" s="78"/>
      <c r="Y157" s="78"/>
      <c r="Z157" s="78"/>
      <c r="AA157" s="78"/>
      <c r="AB157" s="78"/>
    </row>
    <row r="158" spans="1:28" s="79" customFormat="1" ht="12.6" customHeight="1" x14ac:dyDescent="0.3">
      <c r="A158" s="102"/>
      <c r="B158" s="78"/>
      <c r="C158" s="78"/>
      <c r="D158" s="78"/>
      <c r="E158" s="78"/>
      <c r="F158" s="78"/>
      <c r="H158" s="78"/>
      <c r="I158" s="78"/>
      <c r="J158" s="78"/>
      <c r="K158" s="78"/>
      <c r="L158" s="78"/>
      <c r="M158" s="78"/>
      <c r="N158" s="78"/>
      <c r="O158" s="78"/>
      <c r="P158" s="78"/>
      <c r="Q158" s="78"/>
      <c r="R158" s="78"/>
      <c r="S158" s="78"/>
      <c r="T158" s="78"/>
      <c r="U158" s="78"/>
      <c r="V158" s="78"/>
      <c r="W158" s="78"/>
      <c r="X158" s="78"/>
      <c r="Y158" s="78"/>
      <c r="Z158" s="78"/>
      <c r="AA158" s="78"/>
      <c r="AB158" s="78"/>
    </row>
    <row r="159" spans="1:28" s="79" customFormat="1" ht="12.6" customHeight="1" x14ac:dyDescent="0.3">
      <c r="A159" s="102"/>
      <c r="B159" s="78"/>
      <c r="C159" s="78"/>
      <c r="D159" s="78"/>
      <c r="E159" s="78"/>
      <c r="F159" s="78"/>
      <c r="H159" s="78"/>
      <c r="I159" s="78"/>
      <c r="J159" s="78"/>
      <c r="K159" s="78"/>
      <c r="L159" s="78"/>
      <c r="M159" s="78"/>
      <c r="N159" s="78"/>
      <c r="O159" s="78"/>
      <c r="P159" s="78"/>
      <c r="Q159" s="78"/>
      <c r="R159" s="78"/>
      <c r="S159" s="78"/>
      <c r="T159" s="78"/>
      <c r="U159" s="78"/>
      <c r="V159" s="78"/>
      <c r="W159" s="78"/>
      <c r="X159" s="78"/>
      <c r="Y159" s="78"/>
      <c r="Z159" s="78"/>
      <c r="AA159" s="78"/>
      <c r="AB159" s="78"/>
    </row>
    <row r="160" spans="1:28" s="79" customFormat="1" ht="12.6" customHeight="1" x14ac:dyDescent="0.3">
      <c r="A160" s="102"/>
      <c r="B160" s="78"/>
      <c r="C160" s="78"/>
      <c r="D160" s="78"/>
      <c r="E160" s="78"/>
      <c r="F160" s="78"/>
      <c r="H160" s="78"/>
      <c r="I160" s="78"/>
      <c r="J160" s="78"/>
      <c r="K160" s="78"/>
      <c r="L160" s="78"/>
      <c r="M160" s="78"/>
      <c r="N160" s="78"/>
      <c r="O160" s="78"/>
      <c r="P160" s="78"/>
      <c r="Q160" s="78"/>
      <c r="R160" s="78"/>
      <c r="S160" s="78"/>
      <c r="T160" s="78"/>
      <c r="U160" s="78"/>
      <c r="V160" s="78"/>
      <c r="W160" s="78"/>
      <c r="X160" s="78"/>
      <c r="Y160" s="78"/>
      <c r="Z160" s="78"/>
      <c r="AA160" s="78"/>
      <c r="AB160" s="78"/>
    </row>
    <row r="161" spans="1:28" s="79" customFormat="1" ht="12.6" customHeight="1" x14ac:dyDescent="0.3">
      <c r="A161" s="102"/>
      <c r="B161" s="78"/>
      <c r="C161" s="78"/>
      <c r="D161" s="78"/>
      <c r="E161" s="78"/>
      <c r="F161" s="78"/>
      <c r="H161" s="78"/>
      <c r="I161" s="78"/>
      <c r="J161" s="78"/>
      <c r="K161" s="78"/>
      <c r="L161" s="78"/>
      <c r="M161" s="78"/>
      <c r="N161" s="78"/>
      <c r="O161" s="78"/>
      <c r="P161" s="78"/>
      <c r="Q161" s="78"/>
      <c r="R161" s="78"/>
      <c r="S161" s="78"/>
      <c r="T161" s="78"/>
      <c r="U161" s="78"/>
      <c r="V161" s="78"/>
      <c r="W161" s="78"/>
      <c r="X161" s="78"/>
      <c r="Y161" s="78"/>
      <c r="Z161" s="78"/>
      <c r="AA161" s="78"/>
      <c r="AB161" s="78"/>
    </row>
    <row r="162" spans="1:28" s="79" customFormat="1" ht="12.6" customHeight="1" x14ac:dyDescent="0.3">
      <c r="A162" s="102"/>
      <c r="B162" s="78"/>
      <c r="C162" s="78"/>
      <c r="D162" s="78"/>
      <c r="E162" s="78"/>
      <c r="F162" s="78"/>
      <c r="H162" s="78"/>
      <c r="I162" s="78"/>
      <c r="J162" s="78"/>
      <c r="K162" s="78"/>
      <c r="L162" s="78"/>
      <c r="M162" s="78"/>
      <c r="N162" s="78"/>
      <c r="O162" s="78"/>
      <c r="P162" s="78"/>
      <c r="Q162" s="78"/>
      <c r="R162" s="78"/>
      <c r="S162" s="78"/>
      <c r="T162" s="78"/>
      <c r="U162" s="78"/>
      <c r="V162" s="78"/>
      <c r="W162" s="78"/>
      <c r="X162" s="78"/>
      <c r="Y162" s="78"/>
      <c r="Z162" s="78"/>
      <c r="AA162" s="78"/>
      <c r="AB162" s="78"/>
    </row>
    <row r="163" spans="1:28" s="79" customFormat="1" ht="12.6" customHeight="1" x14ac:dyDescent="0.3">
      <c r="A163" s="102"/>
      <c r="B163" s="78"/>
      <c r="C163" s="78"/>
      <c r="D163" s="78"/>
      <c r="E163" s="78"/>
      <c r="F163" s="78"/>
      <c r="H163" s="78"/>
      <c r="I163" s="78"/>
      <c r="J163" s="78"/>
      <c r="K163" s="78"/>
      <c r="L163" s="78"/>
      <c r="M163" s="78"/>
      <c r="N163" s="78"/>
      <c r="O163" s="78"/>
      <c r="P163" s="78"/>
      <c r="Q163" s="78"/>
      <c r="R163" s="78"/>
      <c r="S163" s="78"/>
      <c r="T163" s="78"/>
      <c r="U163" s="78"/>
      <c r="V163" s="78"/>
      <c r="W163" s="78"/>
      <c r="X163" s="78"/>
      <c r="Y163" s="78"/>
      <c r="Z163" s="78"/>
      <c r="AA163" s="78"/>
      <c r="AB163" s="78"/>
    </row>
    <row r="164" spans="1:28" s="79" customFormat="1" ht="12.6" customHeight="1" x14ac:dyDescent="0.3">
      <c r="A164" s="102"/>
      <c r="B164" s="78"/>
      <c r="C164" s="78"/>
      <c r="D164" s="78"/>
      <c r="E164" s="78"/>
      <c r="F164" s="78"/>
      <c r="H164" s="78"/>
      <c r="I164" s="78"/>
      <c r="J164" s="78"/>
      <c r="K164" s="78"/>
      <c r="L164" s="78"/>
      <c r="M164" s="78"/>
      <c r="N164" s="78"/>
      <c r="O164" s="78"/>
      <c r="P164" s="78"/>
      <c r="Q164" s="78"/>
      <c r="R164" s="78"/>
      <c r="S164" s="78"/>
      <c r="T164" s="78"/>
      <c r="U164" s="78"/>
      <c r="V164" s="78"/>
      <c r="W164" s="78"/>
      <c r="X164" s="78"/>
      <c r="Y164" s="78"/>
      <c r="Z164" s="78"/>
      <c r="AA164" s="78"/>
      <c r="AB164" s="78"/>
    </row>
    <row r="165" spans="1:28" s="79" customFormat="1" ht="12.6" customHeight="1" x14ac:dyDescent="0.3">
      <c r="A165" s="102"/>
      <c r="B165" s="78"/>
      <c r="C165" s="78"/>
      <c r="D165" s="78"/>
      <c r="E165" s="78"/>
      <c r="F165" s="78"/>
      <c r="H165" s="78"/>
      <c r="I165" s="78"/>
      <c r="J165" s="78"/>
      <c r="K165" s="78"/>
      <c r="L165" s="78"/>
      <c r="M165" s="78"/>
      <c r="N165" s="78"/>
      <c r="O165" s="78"/>
      <c r="P165" s="78"/>
      <c r="Q165" s="78"/>
      <c r="R165" s="78"/>
      <c r="S165" s="78"/>
      <c r="T165" s="78"/>
      <c r="U165" s="78"/>
      <c r="V165" s="78"/>
      <c r="W165" s="78"/>
      <c r="X165" s="78"/>
      <c r="Y165" s="78"/>
      <c r="Z165" s="78"/>
      <c r="AA165" s="78"/>
      <c r="AB165" s="78"/>
    </row>
    <row r="166" spans="1:28" s="79" customFormat="1" ht="12.6" customHeight="1" x14ac:dyDescent="0.3">
      <c r="A166" s="102"/>
      <c r="B166" s="78"/>
      <c r="C166" s="78"/>
      <c r="D166" s="78"/>
      <c r="E166" s="78"/>
      <c r="F166" s="78"/>
      <c r="H166" s="78"/>
      <c r="I166" s="78"/>
      <c r="J166" s="78"/>
      <c r="K166" s="78"/>
      <c r="L166" s="78"/>
      <c r="M166" s="78"/>
      <c r="N166" s="78"/>
      <c r="O166" s="78"/>
      <c r="P166" s="78"/>
      <c r="Q166" s="78"/>
      <c r="R166" s="78"/>
      <c r="S166" s="78"/>
      <c r="T166" s="78"/>
      <c r="U166" s="78"/>
      <c r="V166" s="78"/>
      <c r="W166" s="78"/>
      <c r="X166" s="78"/>
      <c r="Y166" s="78"/>
      <c r="Z166" s="78"/>
      <c r="AA166" s="78"/>
      <c r="AB166" s="78"/>
    </row>
    <row r="167" spans="1:28" s="79" customFormat="1" ht="12.6" customHeight="1" x14ac:dyDescent="0.3">
      <c r="A167" s="102"/>
      <c r="B167" s="78"/>
      <c r="C167" s="78"/>
      <c r="D167" s="78"/>
      <c r="E167" s="78"/>
      <c r="F167" s="78"/>
      <c r="H167" s="78"/>
      <c r="I167" s="78"/>
      <c r="J167" s="78"/>
      <c r="K167" s="78"/>
      <c r="L167" s="78"/>
      <c r="M167" s="78"/>
      <c r="N167" s="78"/>
      <c r="O167" s="78"/>
      <c r="P167" s="78"/>
      <c r="Q167" s="78"/>
      <c r="R167" s="78"/>
      <c r="S167" s="78"/>
      <c r="T167" s="78"/>
      <c r="U167" s="78"/>
      <c r="V167" s="78"/>
      <c r="W167" s="78"/>
      <c r="X167" s="78"/>
      <c r="Y167" s="78"/>
      <c r="Z167" s="78"/>
      <c r="AA167" s="78"/>
      <c r="AB167" s="78"/>
    </row>
    <row r="168" spans="1:28" s="79" customFormat="1" ht="12.6" customHeight="1" x14ac:dyDescent="0.3">
      <c r="A168" s="102"/>
      <c r="B168" s="78"/>
      <c r="C168" s="78"/>
      <c r="D168" s="78"/>
      <c r="E168" s="78"/>
      <c r="F168" s="78"/>
      <c r="H168" s="78"/>
      <c r="I168" s="78"/>
      <c r="J168" s="78"/>
      <c r="K168" s="78"/>
      <c r="L168" s="78"/>
      <c r="M168" s="78"/>
      <c r="N168" s="78"/>
      <c r="O168" s="78"/>
      <c r="P168" s="78"/>
      <c r="Q168" s="78"/>
      <c r="R168" s="78"/>
      <c r="S168" s="78"/>
      <c r="T168" s="78"/>
      <c r="U168" s="78"/>
      <c r="V168" s="78"/>
      <c r="W168" s="78"/>
      <c r="X168" s="78"/>
      <c r="Y168" s="78"/>
      <c r="Z168" s="78"/>
      <c r="AA168" s="78"/>
      <c r="AB168" s="78"/>
    </row>
    <row r="169" spans="1:28" s="79" customFormat="1" ht="12.6" customHeight="1" x14ac:dyDescent="0.3">
      <c r="A169" s="102"/>
      <c r="B169" s="78"/>
      <c r="C169" s="78"/>
      <c r="D169" s="78"/>
      <c r="E169" s="78"/>
      <c r="F169" s="78"/>
      <c r="H169" s="78"/>
      <c r="I169" s="78"/>
      <c r="J169" s="78"/>
      <c r="K169" s="78"/>
      <c r="L169" s="78"/>
      <c r="M169" s="78"/>
      <c r="N169" s="78"/>
      <c r="O169" s="78"/>
      <c r="P169" s="78"/>
      <c r="Q169" s="78"/>
      <c r="R169" s="78"/>
      <c r="S169" s="78"/>
      <c r="T169" s="78"/>
      <c r="U169" s="78"/>
      <c r="V169" s="78"/>
      <c r="W169" s="78"/>
      <c r="X169" s="78"/>
      <c r="Y169" s="78"/>
      <c r="Z169" s="78"/>
      <c r="AA169" s="78"/>
      <c r="AB169" s="78"/>
    </row>
    <row r="170" spans="1:28" s="79" customFormat="1" ht="12.6" customHeight="1" x14ac:dyDescent="0.3">
      <c r="A170" s="102"/>
      <c r="B170" s="78"/>
      <c r="C170" s="78"/>
      <c r="D170" s="78"/>
      <c r="E170" s="78"/>
      <c r="F170" s="78"/>
      <c r="H170" s="78"/>
      <c r="I170" s="78"/>
      <c r="J170" s="78"/>
      <c r="K170" s="78"/>
      <c r="L170" s="78"/>
      <c r="M170" s="78"/>
      <c r="N170" s="78"/>
      <c r="O170" s="78"/>
      <c r="P170" s="78"/>
      <c r="Q170" s="78"/>
      <c r="R170" s="78"/>
      <c r="S170" s="78"/>
      <c r="T170" s="78"/>
      <c r="U170" s="78"/>
      <c r="V170" s="78"/>
      <c r="W170" s="78"/>
      <c r="X170" s="78"/>
      <c r="Y170" s="78"/>
      <c r="Z170" s="78"/>
      <c r="AA170" s="78"/>
      <c r="AB170" s="78"/>
    </row>
    <row r="171" spans="1:28" s="79" customFormat="1" ht="12.6" customHeight="1" x14ac:dyDescent="0.3">
      <c r="A171" s="102"/>
      <c r="B171" s="78"/>
      <c r="C171" s="78"/>
      <c r="D171" s="78"/>
      <c r="E171" s="78"/>
      <c r="F171" s="78"/>
      <c r="H171" s="78"/>
      <c r="I171" s="78"/>
      <c r="J171" s="78"/>
      <c r="K171" s="78"/>
      <c r="L171" s="78"/>
      <c r="M171" s="78"/>
      <c r="N171" s="78"/>
      <c r="O171" s="78"/>
      <c r="P171" s="78"/>
      <c r="Q171" s="78"/>
      <c r="R171" s="78"/>
      <c r="S171" s="78"/>
      <c r="T171" s="78"/>
      <c r="U171" s="78"/>
      <c r="V171" s="78"/>
      <c r="W171" s="78"/>
      <c r="X171" s="78"/>
      <c r="Y171" s="78"/>
      <c r="Z171" s="78"/>
      <c r="AA171" s="78"/>
      <c r="AB171" s="78"/>
    </row>
    <row r="172" spans="1:28" s="79" customFormat="1" ht="12.6" customHeight="1" x14ac:dyDescent="0.3">
      <c r="A172" s="102"/>
      <c r="B172" s="78"/>
      <c r="C172" s="78"/>
      <c r="D172" s="78"/>
      <c r="E172" s="78"/>
      <c r="F172" s="78"/>
      <c r="H172" s="78"/>
      <c r="I172" s="78"/>
      <c r="J172" s="78"/>
      <c r="K172" s="78"/>
      <c r="L172" s="78"/>
      <c r="M172" s="78"/>
      <c r="N172" s="78"/>
      <c r="O172" s="78"/>
      <c r="P172" s="78"/>
      <c r="Q172" s="78"/>
      <c r="R172" s="78"/>
      <c r="S172" s="78"/>
      <c r="T172" s="78"/>
      <c r="U172" s="78"/>
      <c r="V172" s="78"/>
      <c r="W172" s="78"/>
      <c r="X172" s="78"/>
      <c r="Y172" s="78"/>
      <c r="Z172" s="78"/>
      <c r="AA172" s="78"/>
      <c r="AB172" s="78"/>
    </row>
    <row r="173" spans="1:28" s="79" customFormat="1" ht="12.6" customHeight="1" x14ac:dyDescent="0.3">
      <c r="A173" s="102"/>
      <c r="B173" s="78"/>
      <c r="C173" s="78"/>
      <c r="D173" s="78"/>
      <c r="E173" s="78"/>
      <c r="F173" s="78"/>
      <c r="H173" s="78"/>
      <c r="I173" s="78"/>
      <c r="J173" s="78"/>
      <c r="K173" s="78"/>
      <c r="L173" s="78"/>
      <c r="M173" s="78"/>
      <c r="N173" s="78"/>
      <c r="O173" s="78"/>
      <c r="P173" s="78"/>
      <c r="Q173" s="78"/>
      <c r="R173" s="78"/>
      <c r="S173" s="78"/>
      <c r="T173" s="78"/>
      <c r="U173" s="78"/>
      <c r="V173" s="78"/>
      <c r="W173" s="78"/>
      <c r="X173" s="78"/>
      <c r="Y173" s="78"/>
      <c r="Z173" s="78"/>
      <c r="AA173" s="78"/>
      <c r="AB173" s="78"/>
    </row>
    <row r="174" spans="1:28" s="79" customFormat="1" ht="12.6" customHeight="1" x14ac:dyDescent="0.3">
      <c r="A174" s="102"/>
      <c r="B174" s="78"/>
      <c r="C174" s="78"/>
      <c r="D174" s="78"/>
      <c r="E174" s="78"/>
      <c r="F174" s="78"/>
      <c r="H174" s="78"/>
      <c r="I174" s="78"/>
      <c r="J174" s="78"/>
      <c r="K174" s="78"/>
      <c r="L174" s="78"/>
      <c r="M174" s="78"/>
      <c r="N174" s="78"/>
      <c r="O174" s="78"/>
      <c r="P174" s="78"/>
      <c r="Q174" s="78"/>
      <c r="R174" s="78"/>
      <c r="S174" s="78"/>
      <c r="T174" s="78"/>
      <c r="U174" s="78"/>
      <c r="V174" s="78"/>
      <c r="W174" s="78"/>
      <c r="X174" s="78"/>
      <c r="Y174" s="78"/>
      <c r="Z174" s="78"/>
      <c r="AA174" s="78"/>
      <c r="AB174" s="78"/>
    </row>
    <row r="175" spans="1:28" s="79" customFormat="1" ht="12.6" customHeight="1" x14ac:dyDescent="0.3">
      <c r="A175" s="102"/>
      <c r="B175" s="78"/>
      <c r="C175" s="78"/>
      <c r="D175" s="78"/>
      <c r="E175" s="78"/>
      <c r="F175" s="78"/>
      <c r="H175" s="78"/>
      <c r="I175" s="78"/>
      <c r="J175" s="78"/>
      <c r="K175" s="78"/>
      <c r="L175" s="78"/>
      <c r="M175" s="78"/>
      <c r="N175" s="78"/>
      <c r="O175" s="78"/>
      <c r="P175" s="78"/>
      <c r="Q175" s="78"/>
      <c r="R175" s="78"/>
      <c r="S175" s="78"/>
      <c r="T175" s="78"/>
      <c r="U175" s="78"/>
      <c r="V175" s="78"/>
      <c r="W175" s="78"/>
      <c r="X175" s="78"/>
      <c r="Y175" s="78"/>
      <c r="Z175" s="78"/>
      <c r="AA175" s="78"/>
      <c r="AB175" s="78"/>
    </row>
    <row r="176" spans="1:28" s="79" customFormat="1" ht="12.6" customHeight="1" x14ac:dyDescent="0.3">
      <c r="A176" s="102"/>
      <c r="B176" s="78"/>
      <c r="C176" s="78"/>
      <c r="D176" s="78"/>
      <c r="E176" s="78"/>
      <c r="F176" s="78"/>
      <c r="H176" s="78"/>
      <c r="I176" s="78"/>
      <c r="J176" s="78"/>
      <c r="K176" s="78"/>
      <c r="L176" s="78"/>
      <c r="M176" s="78"/>
      <c r="N176" s="78"/>
      <c r="O176" s="78"/>
      <c r="P176" s="78"/>
      <c r="Q176" s="78"/>
      <c r="R176" s="78"/>
      <c r="S176" s="78"/>
      <c r="T176" s="78"/>
      <c r="U176" s="78"/>
      <c r="V176" s="78"/>
      <c r="W176" s="78"/>
      <c r="X176" s="78"/>
      <c r="Y176" s="78"/>
      <c r="Z176" s="78"/>
      <c r="AA176" s="78"/>
      <c r="AB176" s="78"/>
    </row>
    <row r="177" spans="1:28" s="79" customFormat="1" ht="12.6" customHeight="1" x14ac:dyDescent="0.3">
      <c r="A177" s="102"/>
      <c r="B177" s="78"/>
      <c r="C177" s="78"/>
      <c r="D177" s="78"/>
      <c r="E177" s="78"/>
      <c r="F177" s="78"/>
      <c r="H177" s="78"/>
      <c r="I177" s="78"/>
      <c r="J177" s="78"/>
      <c r="K177" s="78"/>
      <c r="L177" s="78"/>
      <c r="M177" s="78"/>
      <c r="N177" s="78"/>
      <c r="O177" s="78"/>
      <c r="P177" s="78"/>
      <c r="Q177" s="78"/>
      <c r="R177" s="78"/>
      <c r="S177" s="78"/>
      <c r="T177" s="78"/>
      <c r="U177" s="78"/>
      <c r="V177" s="78"/>
      <c r="W177" s="78"/>
      <c r="X177" s="78"/>
      <c r="Y177" s="78"/>
      <c r="Z177" s="78"/>
      <c r="AA177" s="78"/>
      <c r="AB177" s="78"/>
    </row>
    <row r="178" spans="1:28" s="79" customFormat="1" ht="12.6" customHeight="1" x14ac:dyDescent="0.3">
      <c r="A178" s="102"/>
      <c r="B178" s="78"/>
      <c r="C178" s="78"/>
      <c r="D178" s="78"/>
      <c r="E178" s="78"/>
      <c r="F178" s="78"/>
      <c r="H178" s="78"/>
      <c r="I178" s="78"/>
      <c r="J178" s="78"/>
      <c r="K178" s="78"/>
      <c r="L178" s="78"/>
      <c r="M178" s="78"/>
      <c r="N178" s="78"/>
      <c r="O178" s="78"/>
      <c r="P178" s="78"/>
      <c r="Q178" s="78"/>
      <c r="R178" s="78"/>
      <c r="S178" s="78"/>
      <c r="T178" s="78"/>
      <c r="U178" s="78"/>
      <c r="V178" s="78"/>
      <c r="W178" s="78"/>
      <c r="X178" s="78"/>
      <c r="Y178" s="78"/>
      <c r="Z178" s="78"/>
      <c r="AA178" s="78"/>
      <c r="AB178" s="78"/>
    </row>
    <row r="179" spans="1:28" s="79" customFormat="1" ht="12.6" customHeight="1" x14ac:dyDescent="0.3">
      <c r="A179" s="102"/>
      <c r="B179" s="78"/>
      <c r="C179" s="78"/>
      <c r="D179" s="78"/>
      <c r="E179" s="78"/>
      <c r="F179" s="78"/>
      <c r="H179" s="78"/>
      <c r="I179" s="78"/>
      <c r="J179" s="78"/>
      <c r="K179" s="78"/>
      <c r="L179" s="78"/>
      <c r="M179" s="78"/>
      <c r="N179" s="78"/>
      <c r="O179" s="78"/>
      <c r="P179" s="78"/>
      <c r="Q179" s="78"/>
      <c r="R179" s="78"/>
      <c r="S179" s="78"/>
      <c r="T179" s="78"/>
      <c r="U179" s="78"/>
      <c r="V179" s="78"/>
      <c r="W179" s="78"/>
      <c r="X179" s="78"/>
      <c r="Y179" s="78"/>
      <c r="Z179" s="78"/>
      <c r="AA179" s="78"/>
      <c r="AB179" s="78"/>
    </row>
    <row r="180" spans="1:28" s="79" customFormat="1" ht="12.6" customHeight="1" x14ac:dyDescent="0.3">
      <c r="A180" s="102"/>
      <c r="B180" s="78"/>
      <c r="C180" s="78"/>
      <c r="D180" s="78"/>
      <c r="E180" s="78"/>
      <c r="F180" s="78"/>
      <c r="H180" s="78"/>
      <c r="I180" s="78"/>
      <c r="J180" s="78"/>
      <c r="K180" s="78"/>
      <c r="L180" s="78"/>
      <c r="M180" s="78"/>
      <c r="N180" s="78"/>
      <c r="O180" s="78"/>
      <c r="P180" s="78"/>
      <c r="Q180" s="78"/>
      <c r="R180" s="78"/>
      <c r="S180" s="78"/>
      <c r="T180" s="78"/>
      <c r="U180" s="78"/>
      <c r="V180" s="78"/>
      <c r="W180" s="78"/>
      <c r="X180" s="78"/>
      <c r="Y180" s="78"/>
      <c r="Z180" s="78"/>
      <c r="AA180" s="78"/>
      <c r="AB180" s="78"/>
    </row>
    <row r="181" spans="1:28" s="79" customFormat="1" ht="12.6" customHeight="1" x14ac:dyDescent="0.3">
      <c r="A181" s="102"/>
      <c r="B181" s="78"/>
      <c r="C181" s="78"/>
      <c r="D181" s="78"/>
      <c r="E181" s="78"/>
      <c r="F181" s="78"/>
      <c r="H181" s="78"/>
      <c r="I181" s="78"/>
      <c r="J181" s="78"/>
      <c r="K181" s="78"/>
      <c r="L181" s="78"/>
      <c r="M181" s="78"/>
      <c r="N181" s="78"/>
      <c r="O181" s="78"/>
      <c r="P181" s="78"/>
      <c r="Q181" s="78"/>
      <c r="R181" s="78"/>
      <c r="S181" s="78"/>
      <c r="T181" s="78"/>
      <c r="U181" s="78"/>
      <c r="V181" s="78"/>
      <c r="W181" s="78"/>
      <c r="X181" s="78"/>
      <c r="Y181" s="78"/>
      <c r="Z181" s="78"/>
      <c r="AA181" s="78"/>
      <c r="AB181" s="78"/>
    </row>
    <row r="182" spans="1:28" s="79" customFormat="1" ht="12.6" customHeight="1" x14ac:dyDescent="0.3">
      <c r="A182" s="102"/>
      <c r="B182" s="78"/>
      <c r="C182" s="78"/>
      <c r="D182" s="78"/>
      <c r="E182" s="78"/>
      <c r="F182" s="78"/>
      <c r="H182" s="78"/>
      <c r="I182" s="78"/>
      <c r="J182" s="78"/>
      <c r="K182" s="78"/>
      <c r="L182" s="78"/>
      <c r="M182" s="78"/>
      <c r="N182" s="78"/>
      <c r="O182" s="78"/>
      <c r="P182" s="78"/>
      <c r="Q182" s="78"/>
      <c r="R182" s="78"/>
      <c r="S182" s="78"/>
      <c r="T182" s="78"/>
      <c r="U182" s="78"/>
      <c r="V182" s="78"/>
      <c r="W182" s="78"/>
      <c r="X182" s="78"/>
      <c r="Y182" s="78"/>
      <c r="Z182" s="78"/>
      <c r="AA182" s="78"/>
      <c r="AB182" s="78"/>
    </row>
    <row r="183" spans="1:28" s="79" customFormat="1" ht="12.6" customHeight="1" x14ac:dyDescent="0.3">
      <c r="A183" s="102"/>
      <c r="B183" s="78"/>
      <c r="C183" s="78"/>
      <c r="D183" s="78"/>
      <c r="E183" s="78"/>
      <c r="F183" s="78"/>
      <c r="H183" s="78"/>
      <c r="I183" s="78"/>
      <c r="J183" s="78"/>
      <c r="K183" s="78"/>
      <c r="L183" s="78"/>
      <c r="M183" s="78"/>
      <c r="N183" s="78"/>
      <c r="O183" s="78"/>
      <c r="P183" s="78"/>
      <c r="Q183" s="78"/>
      <c r="R183" s="78"/>
      <c r="S183" s="78"/>
      <c r="T183" s="78"/>
      <c r="U183" s="78"/>
      <c r="V183" s="78"/>
      <c r="W183" s="78"/>
      <c r="X183" s="78"/>
      <c r="Y183" s="78"/>
      <c r="Z183" s="78"/>
      <c r="AA183" s="78"/>
      <c r="AB183" s="78"/>
    </row>
    <row r="184" spans="1:28" s="79" customFormat="1" ht="12.6" customHeight="1" x14ac:dyDescent="0.3">
      <c r="A184" s="102"/>
      <c r="B184" s="78"/>
      <c r="C184" s="78"/>
      <c r="D184" s="78"/>
      <c r="E184" s="78"/>
      <c r="F184" s="78"/>
      <c r="H184" s="78"/>
      <c r="I184" s="78"/>
      <c r="J184" s="78"/>
      <c r="K184" s="78"/>
      <c r="L184" s="78"/>
      <c r="M184" s="78"/>
      <c r="N184" s="78"/>
      <c r="O184" s="78"/>
      <c r="P184" s="78"/>
      <c r="Q184" s="78"/>
      <c r="R184" s="78"/>
      <c r="S184" s="78"/>
      <c r="T184" s="78"/>
      <c r="U184" s="78"/>
      <c r="V184" s="78"/>
      <c r="W184" s="78"/>
      <c r="X184" s="78"/>
      <c r="Y184" s="78"/>
      <c r="Z184" s="78"/>
      <c r="AA184" s="78"/>
      <c r="AB184" s="78"/>
    </row>
    <row r="185" spans="1:28" s="79" customFormat="1" ht="12.6" customHeight="1" x14ac:dyDescent="0.3">
      <c r="A185" s="102"/>
      <c r="B185" s="78"/>
      <c r="C185" s="78"/>
      <c r="D185" s="78"/>
      <c r="E185" s="78"/>
      <c r="F185" s="78"/>
      <c r="H185" s="78"/>
      <c r="I185" s="78"/>
      <c r="J185" s="78"/>
      <c r="K185" s="78"/>
      <c r="L185" s="78"/>
      <c r="M185" s="78"/>
      <c r="N185" s="78"/>
      <c r="O185" s="78"/>
      <c r="P185" s="78"/>
      <c r="Q185" s="78"/>
      <c r="R185" s="78"/>
      <c r="S185" s="78"/>
      <c r="T185" s="78"/>
      <c r="U185" s="78"/>
      <c r="V185" s="78"/>
      <c r="W185" s="78"/>
      <c r="X185" s="78"/>
      <c r="Y185" s="78"/>
      <c r="Z185" s="78"/>
      <c r="AA185" s="78"/>
      <c r="AB185" s="78"/>
    </row>
    <row r="186" spans="1:28" s="79" customFormat="1" ht="12.6" customHeight="1" x14ac:dyDescent="0.3">
      <c r="A186" s="102"/>
      <c r="B186" s="78"/>
      <c r="C186" s="78"/>
      <c r="D186" s="78"/>
      <c r="E186" s="78"/>
      <c r="F186" s="78"/>
      <c r="H186" s="78"/>
      <c r="I186" s="78"/>
      <c r="J186" s="78"/>
      <c r="K186" s="78"/>
      <c r="L186" s="78"/>
      <c r="M186" s="78"/>
      <c r="N186" s="78"/>
      <c r="O186" s="78"/>
      <c r="P186" s="78"/>
      <c r="Q186" s="78"/>
      <c r="R186" s="78"/>
      <c r="S186" s="78"/>
      <c r="T186" s="78"/>
      <c r="U186" s="78"/>
      <c r="V186" s="78"/>
      <c r="W186" s="78"/>
      <c r="X186" s="78"/>
      <c r="Y186" s="78"/>
      <c r="Z186" s="78"/>
      <c r="AA186" s="78"/>
      <c r="AB186" s="78"/>
    </row>
    <row r="187" spans="1:28" s="79" customFormat="1" ht="12.6" customHeight="1" x14ac:dyDescent="0.3">
      <c r="A187" s="102"/>
      <c r="B187" s="78"/>
      <c r="C187" s="78"/>
      <c r="D187" s="78"/>
      <c r="E187" s="78"/>
      <c r="F187" s="78"/>
      <c r="H187" s="78"/>
      <c r="I187" s="78"/>
      <c r="J187" s="78"/>
      <c r="K187" s="78"/>
      <c r="L187" s="78"/>
      <c r="M187" s="78"/>
      <c r="N187" s="78"/>
      <c r="O187" s="78"/>
      <c r="P187" s="78"/>
      <c r="Q187" s="78"/>
      <c r="R187" s="78"/>
      <c r="S187" s="78"/>
      <c r="T187" s="78"/>
      <c r="U187" s="78"/>
      <c r="V187" s="78"/>
      <c r="W187" s="78"/>
      <c r="X187" s="78"/>
      <c r="Y187" s="78"/>
      <c r="Z187" s="78"/>
      <c r="AA187" s="78"/>
      <c r="AB187" s="78"/>
    </row>
    <row r="188" spans="1:28" s="79" customFormat="1" ht="12.6" customHeight="1" x14ac:dyDescent="0.3">
      <c r="A188" s="102"/>
      <c r="B188" s="78"/>
      <c r="C188" s="78"/>
      <c r="D188" s="78"/>
      <c r="E188" s="78"/>
      <c r="F188" s="78"/>
      <c r="H188" s="78"/>
      <c r="I188" s="78"/>
      <c r="J188" s="78"/>
      <c r="K188" s="78"/>
      <c r="L188" s="78"/>
      <c r="M188" s="78"/>
      <c r="N188" s="78"/>
      <c r="O188" s="78"/>
      <c r="P188" s="78"/>
      <c r="Q188" s="78"/>
      <c r="R188" s="78"/>
      <c r="S188" s="78"/>
      <c r="T188" s="78"/>
      <c r="U188" s="78"/>
      <c r="V188" s="78"/>
      <c r="W188" s="78"/>
      <c r="X188" s="78"/>
      <c r="Y188" s="78"/>
      <c r="Z188" s="78"/>
      <c r="AA188" s="78"/>
      <c r="AB188" s="78"/>
    </row>
    <row r="189" spans="1:28" s="79" customFormat="1" ht="12.6" customHeight="1" x14ac:dyDescent="0.3">
      <c r="A189" s="102"/>
      <c r="B189" s="78"/>
      <c r="C189" s="78"/>
      <c r="D189" s="78"/>
      <c r="E189" s="78"/>
      <c r="F189" s="78"/>
      <c r="H189" s="78"/>
      <c r="I189" s="78"/>
      <c r="J189" s="78"/>
      <c r="K189" s="78"/>
      <c r="L189" s="78"/>
      <c r="M189" s="78"/>
      <c r="N189" s="78"/>
      <c r="O189" s="78"/>
      <c r="P189" s="78"/>
      <c r="Q189" s="78"/>
      <c r="R189" s="78"/>
      <c r="S189" s="78"/>
      <c r="T189" s="78"/>
      <c r="U189" s="78"/>
      <c r="V189" s="78"/>
      <c r="W189" s="78"/>
      <c r="X189" s="78"/>
      <c r="Y189" s="78"/>
      <c r="Z189" s="78"/>
      <c r="AA189" s="78"/>
      <c r="AB189" s="78"/>
    </row>
    <row r="190" spans="1:28" s="79" customFormat="1" ht="12.6" customHeight="1" x14ac:dyDescent="0.3">
      <c r="A190" s="102"/>
      <c r="B190" s="78"/>
      <c r="C190" s="78"/>
      <c r="D190" s="78"/>
      <c r="E190" s="78"/>
      <c r="F190" s="78"/>
      <c r="H190" s="78"/>
      <c r="I190" s="78"/>
      <c r="J190" s="78"/>
      <c r="K190" s="78"/>
      <c r="L190" s="78"/>
      <c r="M190" s="78"/>
      <c r="N190" s="78"/>
      <c r="O190" s="78"/>
      <c r="P190" s="78"/>
      <c r="Q190" s="78"/>
      <c r="R190" s="78"/>
      <c r="S190" s="78"/>
      <c r="T190" s="78"/>
      <c r="U190" s="78"/>
      <c r="V190" s="78"/>
      <c r="W190" s="78"/>
      <c r="X190" s="78"/>
      <c r="Y190" s="78"/>
      <c r="Z190" s="78"/>
      <c r="AA190" s="78"/>
      <c r="AB190" s="78"/>
    </row>
    <row r="191" spans="1:28" s="79" customFormat="1" ht="12.6" customHeight="1" x14ac:dyDescent="0.3">
      <c r="A191" s="102"/>
      <c r="B191" s="78"/>
      <c r="C191" s="78"/>
      <c r="D191" s="78"/>
      <c r="E191" s="78"/>
      <c r="F191" s="78"/>
      <c r="H191" s="78"/>
      <c r="I191" s="78"/>
      <c r="J191" s="78"/>
      <c r="K191" s="78"/>
      <c r="L191" s="78"/>
      <c r="M191" s="78"/>
      <c r="N191" s="78"/>
      <c r="O191" s="78"/>
      <c r="P191" s="78"/>
      <c r="Q191" s="78"/>
      <c r="R191" s="78"/>
      <c r="S191" s="78"/>
      <c r="T191" s="78"/>
      <c r="U191" s="78"/>
      <c r="V191" s="78"/>
      <c r="W191" s="78"/>
      <c r="X191" s="78"/>
      <c r="Y191" s="78"/>
      <c r="Z191" s="78"/>
      <c r="AA191" s="78"/>
      <c r="AB191" s="78"/>
    </row>
    <row r="192" spans="1:28" s="79" customFormat="1" ht="12.6" customHeight="1" x14ac:dyDescent="0.3">
      <c r="A192" s="102"/>
      <c r="B192" s="78"/>
      <c r="C192" s="78"/>
      <c r="D192" s="78"/>
      <c r="E192" s="78"/>
      <c r="F192" s="78"/>
      <c r="H192" s="78"/>
      <c r="I192" s="78"/>
      <c r="J192" s="78"/>
      <c r="K192" s="78"/>
      <c r="L192" s="78"/>
      <c r="M192" s="78"/>
      <c r="N192" s="78"/>
      <c r="O192" s="78"/>
      <c r="P192" s="78"/>
      <c r="Q192" s="78"/>
      <c r="R192" s="78"/>
      <c r="S192" s="78"/>
      <c r="T192" s="78"/>
      <c r="U192" s="78"/>
      <c r="V192" s="78"/>
      <c r="W192" s="78"/>
      <c r="X192" s="78"/>
      <c r="Y192" s="78"/>
      <c r="Z192" s="78"/>
      <c r="AA192" s="78"/>
      <c r="AB192" s="78"/>
    </row>
    <row r="193" spans="1:28" s="79" customFormat="1" ht="12.6" customHeight="1" x14ac:dyDescent="0.3">
      <c r="A193" s="102"/>
      <c r="B193" s="78"/>
      <c r="C193" s="78"/>
      <c r="D193" s="78"/>
      <c r="E193" s="78"/>
      <c r="F193" s="78"/>
      <c r="H193" s="78"/>
      <c r="I193" s="78"/>
      <c r="J193" s="78"/>
      <c r="K193" s="78"/>
      <c r="L193" s="78"/>
      <c r="M193" s="78"/>
      <c r="N193" s="78"/>
      <c r="O193" s="78"/>
      <c r="P193" s="78"/>
      <c r="Q193" s="78"/>
      <c r="R193" s="78"/>
      <c r="S193" s="78"/>
      <c r="T193" s="78"/>
      <c r="U193" s="78"/>
      <c r="V193" s="78"/>
      <c r="W193" s="78"/>
      <c r="X193" s="78"/>
      <c r="Y193" s="78"/>
      <c r="Z193" s="78"/>
      <c r="AA193" s="78"/>
      <c r="AB193" s="78"/>
    </row>
    <row r="194" spans="1:28" s="79" customFormat="1" ht="12.6" customHeight="1" x14ac:dyDescent="0.3">
      <c r="A194" s="102"/>
      <c r="B194" s="78"/>
      <c r="C194" s="78"/>
      <c r="D194" s="78"/>
      <c r="E194" s="78"/>
      <c r="F194" s="78"/>
      <c r="H194" s="78"/>
      <c r="I194" s="78"/>
      <c r="J194" s="78"/>
      <c r="K194" s="78"/>
      <c r="L194" s="78"/>
      <c r="M194" s="78"/>
      <c r="N194" s="78"/>
      <c r="O194" s="78"/>
      <c r="P194" s="78"/>
      <c r="Q194" s="78"/>
      <c r="R194" s="78"/>
      <c r="S194" s="78"/>
      <c r="T194" s="78"/>
      <c r="U194" s="78"/>
      <c r="V194" s="78"/>
      <c r="W194" s="78"/>
      <c r="X194" s="78"/>
      <c r="Y194" s="78"/>
      <c r="Z194" s="78"/>
      <c r="AA194" s="78"/>
      <c r="AB194" s="78"/>
    </row>
    <row r="195" spans="1:28" s="79" customFormat="1" ht="12.6" customHeight="1" x14ac:dyDescent="0.3">
      <c r="A195" s="102"/>
      <c r="B195" s="78"/>
      <c r="C195" s="78"/>
      <c r="D195" s="78"/>
      <c r="E195" s="78"/>
      <c r="F195" s="78"/>
      <c r="H195" s="78"/>
      <c r="I195" s="78"/>
      <c r="J195" s="78"/>
      <c r="K195" s="78"/>
      <c r="L195" s="78"/>
      <c r="M195" s="78"/>
      <c r="N195" s="78"/>
      <c r="O195" s="78"/>
      <c r="P195" s="78"/>
      <c r="Q195" s="78"/>
      <c r="R195" s="78"/>
      <c r="S195" s="78"/>
      <c r="T195" s="78"/>
      <c r="U195" s="78"/>
      <c r="V195" s="78"/>
      <c r="W195" s="78"/>
      <c r="X195" s="78"/>
      <c r="Y195" s="78"/>
      <c r="Z195" s="78"/>
      <c r="AA195" s="78"/>
      <c r="AB195" s="78"/>
    </row>
    <row r="196" spans="1:28" s="79" customFormat="1" ht="12.6" customHeight="1" x14ac:dyDescent="0.3">
      <c r="A196" s="102"/>
      <c r="B196" s="78"/>
      <c r="C196" s="78"/>
      <c r="D196" s="78"/>
      <c r="E196" s="78"/>
      <c r="F196" s="78"/>
      <c r="H196" s="78"/>
      <c r="I196" s="78"/>
      <c r="J196" s="78"/>
      <c r="K196" s="78"/>
      <c r="L196" s="78"/>
      <c r="M196" s="78"/>
      <c r="N196" s="78"/>
      <c r="O196" s="78"/>
      <c r="P196" s="78"/>
      <c r="Q196" s="78"/>
      <c r="R196" s="78"/>
      <c r="S196" s="78"/>
      <c r="T196" s="78"/>
      <c r="U196" s="78"/>
      <c r="V196" s="78"/>
      <c r="W196" s="78"/>
      <c r="X196" s="78"/>
      <c r="Y196" s="78"/>
      <c r="Z196" s="78"/>
      <c r="AA196" s="78"/>
      <c r="AB196" s="78"/>
    </row>
    <row r="197" spans="1:28" s="79" customFormat="1" ht="12.6" customHeight="1" x14ac:dyDescent="0.3">
      <c r="A197" s="102"/>
      <c r="B197" s="78"/>
      <c r="C197" s="78"/>
      <c r="D197" s="78"/>
      <c r="E197" s="78"/>
      <c r="F197" s="78"/>
      <c r="H197" s="78"/>
      <c r="I197" s="78"/>
      <c r="J197" s="78"/>
      <c r="K197" s="78"/>
      <c r="L197" s="78"/>
      <c r="M197" s="78"/>
      <c r="N197" s="78"/>
      <c r="O197" s="78"/>
      <c r="P197" s="78"/>
      <c r="Q197" s="78"/>
      <c r="R197" s="78"/>
      <c r="S197" s="78"/>
      <c r="T197" s="78"/>
      <c r="U197" s="78"/>
      <c r="V197" s="78"/>
      <c r="W197" s="78"/>
      <c r="X197" s="78"/>
      <c r="Y197" s="78"/>
      <c r="Z197" s="78"/>
      <c r="AA197" s="78"/>
      <c r="AB197" s="78"/>
    </row>
    <row r="198" spans="1:28" s="79" customFormat="1" ht="12.6" customHeight="1" x14ac:dyDescent="0.3">
      <c r="A198" s="102"/>
      <c r="B198" s="78"/>
      <c r="C198" s="78"/>
      <c r="D198" s="78"/>
      <c r="E198" s="78"/>
      <c r="F198" s="78"/>
      <c r="H198" s="78"/>
      <c r="I198" s="78"/>
      <c r="J198" s="78"/>
      <c r="K198" s="78"/>
      <c r="L198" s="78"/>
      <c r="M198" s="78"/>
      <c r="N198" s="78"/>
      <c r="O198" s="78"/>
      <c r="P198" s="78"/>
      <c r="Q198" s="78"/>
      <c r="R198" s="78"/>
      <c r="S198" s="78"/>
      <c r="T198" s="78"/>
      <c r="U198" s="78"/>
      <c r="V198" s="78"/>
      <c r="W198" s="78"/>
      <c r="X198" s="78"/>
      <c r="Y198" s="78"/>
      <c r="Z198" s="78"/>
      <c r="AA198" s="78"/>
      <c r="AB198" s="78"/>
    </row>
    <row r="199" spans="1:28" s="79" customFormat="1" ht="12.6" customHeight="1" x14ac:dyDescent="0.3">
      <c r="A199" s="102"/>
      <c r="B199" s="78"/>
      <c r="C199" s="78"/>
      <c r="D199" s="78"/>
      <c r="E199" s="78"/>
      <c r="F199" s="78"/>
      <c r="H199" s="78"/>
      <c r="I199" s="78"/>
      <c r="J199" s="78"/>
      <c r="K199" s="78"/>
      <c r="L199" s="78"/>
      <c r="M199" s="78"/>
      <c r="N199" s="78"/>
      <c r="O199" s="78"/>
      <c r="P199" s="78"/>
      <c r="Q199" s="78"/>
      <c r="R199" s="78"/>
      <c r="S199" s="78"/>
      <c r="T199" s="78"/>
      <c r="U199" s="78"/>
      <c r="V199" s="78"/>
      <c r="W199" s="78"/>
      <c r="X199" s="78"/>
      <c r="Y199" s="78"/>
      <c r="Z199" s="78"/>
      <c r="AA199" s="78"/>
      <c r="AB199" s="78"/>
    </row>
    <row r="200" spans="1:28" s="79" customFormat="1" ht="12.6" customHeight="1" x14ac:dyDescent="0.3">
      <c r="A200" s="102"/>
      <c r="B200" s="78"/>
      <c r="C200" s="78"/>
      <c r="D200" s="78"/>
      <c r="E200" s="78"/>
      <c r="F200" s="78"/>
      <c r="H200" s="78"/>
      <c r="I200" s="78"/>
      <c r="J200" s="78"/>
      <c r="K200" s="78"/>
      <c r="L200" s="78"/>
      <c r="M200" s="78"/>
      <c r="N200" s="78"/>
      <c r="O200" s="78"/>
      <c r="P200" s="78"/>
      <c r="Q200" s="78"/>
      <c r="R200" s="78"/>
      <c r="S200" s="78"/>
      <c r="T200" s="78"/>
      <c r="U200" s="78"/>
      <c r="V200" s="78"/>
      <c r="W200" s="78"/>
      <c r="X200" s="78"/>
      <c r="Y200" s="78"/>
      <c r="Z200" s="78"/>
      <c r="AA200" s="78"/>
      <c r="AB200" s="78"/>
    </row>
    <row r="201" spans="1:28" s="79" customFormat="1" ht="12.6" customHeight="1" x14ac:dyDescent="0.3">
      <c r="A201" s="102"/>
      <c r="B201" s="78"/>
      <c r="C201" s="78"/>
      <c r="D201" s="78"/>
      <c r="E201" s="78"/>
      <c r="F201" s="78"/>
      <c r="H201" s="78"/>
      <c r="I201" s="78"/>
      <c r="J201" s="78"/>
      <c r="K201" s="78"/>
      <c r="L201" s="78"/>
      <c r="M201" s="78"/>
      <c r="N201" s="78"/>
      <c r="O201" s="78"/>
      <c r="P201" s="78"/>
      <c r="Q201" s="78"/>
      <c r="R201" s="78"/>
      <c r="S201" s="78"/>
      <c r="T201" s="78"/>
      <c r="U201" s="78"/>
      <c r="V201" s="78"/>
      <c r="W201" s="78"/>
      <c r="X201" s="78"/>
      <c r="Y201" s="78"/>
      <c r="Z201" s="78"/>
      <c r="AA201" s="78"/>
      <c r="AB201" s="78"/>
    </row>
    <row r="202" spans="1:28" s="79" customFormat="1" ht="12.6" customHeight="1" x14ac:dyDescent="0.3">
      <c r="A202" s="102"/>
      <c r="B202" s="78"/>
      <c r="C202" s="78"/>
      <c r="D202" s="78"/>
      <c r="E202" s="78"/>
      <c r="F202" s="78"/>
      <c r="H202" s="78"/>
      <c r="I202" s="78"/>
      <c r="J202" s="78"/>
      <c r="K202" s="78"/>
      <c r="L202" s="78"/>
      <c r="M202" s="78"/>
      <c r="N202" s="78"/>
      <c r="O202" s="78"/>
      <c r="P202" s="78"/>
      <c r="Q202" s="78"/>
      <c r="R202" s="78"/>
      <c r="S202" s="78"/>
      <c r="T202" s="78"/>
      <c r="U202" s="78"/>
      <c r="V202" s="78"/>
      <c r="W202" s="78"/>
      <c r="X202" s="78"/>
      <c r="Y202" s="78"/>
      <c r="Z202" s="78"/>
      <c r="AA202" s="78"/>
      <c r="AB202" s="78"/>
    </row>
    <row r="203" spans="1:28" s="79" customFormat="1" ht="12.6" customHeight="1" x14ac:dyDescent="0.3">
      <c r="A203" s="102"/>
      <c r="B203" s="78"/>
      <c r="C203" s="78"/>
      <c r="D203" s="78"/>
      <c r="E203" s="78"/>
      <c r="F203" s="78"/>
      <c r="H203" s="78"/>
      <c r="I203" s="78"/>
      <c r="J203" s="78"/>
      <c r="K203" s="78"/>
      <c r="L203" s="78"/>
      <c r="M203" s="78"/>
      <c r="N203" s="78"/>
      <c r="O203" s="78"/>
      <c r="P203" s="78"/>
      <c r="Q203" s="78"/>
      <c r="R203" s="78"/>
      <c r="S203" s="78"/>
      <c r="T203" s="78"/>
      <c r="U203" s="78"/>
      <c r="V203" s="78"/>
      <c r="W203" s="78"/>
      <c r="X203" s="78"/>
      <c r="Y203" s="78"/>
      <c r="Z203" s="78"/>
      <c r="AA203" s="78"/>
      <c r="AB203" s="78"/>
    </row>
    <row r="204" spans="1:28" s="79" customFormat="1" ht="12.6" customHeight="1" x14ac:dyDescent="0.3">
      <c r="A204" s="102"/>
      <c r="B204" s="78"/>
      <c r="C204" s="78"/>
      <c r="D204" s="78"/>
      <c r="E204" s="78"/>
      <c r="F204" s="78"/>
      <c r="H204" s="78"/>
      <c r="I204" s="78"/>
      <c r="J204" s="78"/>
      <c r="K204" s="78"/>
      <c r="L204" s="78"/>
      <c r="M204" s="78"/>
      <c r="N204" s="78"/>
      <c r="O204" s="78"/>
      <c r="P204" s="78"/>
      <c r="Q204" s="78"/>
      <c r="R204" s="78"/>
      <c r="S204" s="78"/>
      <c r="T204" s="78"/>
      <c r="U204" s="78"/>
      <c r="V204" s="78"/>
      <c r="W204" s="78"/>
      <c r="X204" s="78"/>
      <c r="Y204" s="78"/>
      <c r="Z204" s="78"/>
      <c r="AA204" s="78"/>
      <c r="AB204" s="78"/>
    </row>
    <row r="205" spans="1:28" s="79" customFormat="1" ht="12.6" customHeight="1" x14ac:dyDescent="0.3">
      <c r="A205" s="102"/>
      <c r="B205" s="78"/>
      <c r="C205" s="78"/>
      <c r="D205" s="78"/>
      <c r="E205" s="78"/>
      <c r="F205" s="78"/>
      <c r="H205" s="78"/>
      <c r="I205" s="78"/>
      <c r="J205" s="78"/>
      <c r="K205" s="78"/>
      <c r="L205" s="78"/>
      <c r="M205" s="78"/>
      <c r="N205" s="78"/>
      <c r="O205" s="78"/>
      <c r="P205" s="78"/>
      <c r="Q205" s="78"/>
      <c r="R205" s="78"/>
      <c r="S205" s="78"/>
      <c r="T205" s="78"/>
      <c r="U205" s="78"/>
      <c r="V205" s="78"/>
      <c r="W205" s="78"/>
      <c r="X205" s="78"/>
      <c r="Y205" s="78"/>
      <c r="Z205" s="78"/>
      <c r="AA205" s="78"/>
      <c r="AB205" s="78"/>
    </row>
    <row r="206" spans="1:28" s="79" customFormat="1" ht="12.6" customHeight="1" x14ac:dyDescent="0.3">
      <c r="A206" s="102"/>
      <c r="B206" s="78"/>
      <c r="C206" s="78"/>
      <c r="D206" s="78"/>
      <c r="E206" s="78"/>
      <c r="F206" s="78"/>
      <c r="H206" s="78"/>
      <c r="I206" s="78"/>
      <c r="J206" s="78"/>
      <c r="K206" s="78"/>
      <c r="L206" s="78"/>
      <c r="M206" s="78"/>
      <c r="N206" s="78"/>
      <c r="O206" s="78"/>
      <c r="P206" s="78"/>
      <c r="Q206" s="78"/>
      <c r="R206" s="78"/>
      <c r="S206" s="78"/>
      <c r="T206" s="78"/>
      <c r="U206" s="78"/>
      <c r="V206" s="78"/>
      <c r="W206" s="78"/>
      <c r="X206" s="78"/>
      <c r="Y206" s="78"/>
      <c r="Z206" s="78"/>
      <c r="AA206" s="78"/>
      <c r="AB206" s="78"/>
    </row>
    <row r="207" spans="1:28" s="79" customFormat="1" ht="12.6" customHeight="1" x14ac:dyDescent="0.3">
      <c r="A207" s="102"/>
      <c r="B207" s="78"/>
      <c r="C207" s="78"/>
      <c r="D207" s="78"/>
      <c r="E207" s="78"/>
      <c r="F207" s="78"/>
      <c r="H207" s="78"/>
      <c r="I207" s="78"/>
      <c r="J207" s="78"/>
      <c r="K207" s="78"/>
      <c r="L207" s="78"/>
      <c r="M207" s="78"/>
      <c r="N207" s="78"/>
      <c r="O207" s="78"/>
      <c r="P207" s="78"/>
      <c r="Q207" s="78"/>
      <c r="R207" s="78"/>
      <c r="S207" s="78"/>
      <c r="T207" s="78"/>
      <c r="U207" s="78"/>
      <c r="V207" s="78"/>
      <c r="W207" s="78"/>
      <c r="X207" s="78"/>
      <c r="Y207" s="78"/>
      <c r="Z207" s="78"/>
      <c r="AA207" s="78"/>
      <c r="AB207" s="78"/>
    </row>
    <row r="208" spans="1:28" s="79" customFormat="1" ht="12.6" customHeight="1" x14ac:dyDescent="0.3">
      <c r="A208" s="102"/>
      <c r="B208" s="78"/>
      <c r="C208" s="78"/>
      <c r="D208" s="78"/>
      <c r="E208" s="78"/>
      <c r="F208" s="78"/>
      <c r="H208" s="78"/>
      <c r="I208" s="78"/>
      <c r="J208" s="78"/>
      <c r="K208" s="78"/>
      <c r="L208" s="78"/>
      <c r="M208" s="78"/>
      <c r="N208" s="78"/>
      <c r="O208" s="78"/>
      <c r="P208" s="78"/>
      <c r="Q208" s="78"/>
      <c r="R208" s="78"/>
      <c r="S208" s="78"/>
      <c r="T208" s="78"/>
      <c r="U208" s="78"/>
      <c r="V208" s="78"/>
      <c r="W208" s="78"/>
      <c r="X208" s="78"/>
      <c r="Y208" s="78"/>
      <c r="Z208" s="78"/>
      <c r="AA208" s="78"/>
      <c r="AB208" s="78"/>
    </row>
    <row r="209" spans="1:28" s="79" customFormat="1" ht="12.6" customHeight="1" x14ac:dyDescent="0.3">
      <c r="A209" s="102"/>
      <c r="B209" s="78"/>
      <c r="C209" s="78"/>
      <c r="D209" s="78"/>
      <c r="E209" s="78"/>
      <c r="F209" s="78"/>
      <c r="H209" s="78"/>
      <c r="I209" s="78"/>
      <c r="J209" s="78"/>
      <c r="K209" s="78"/>
      <c r="L209" s="78"/>
      <c r="M209" s="78"/>
      <c r="N209" s="78"/>
      <c r="O209" s="78"/>
      <c r="P209" s="78"/>
      <c r="Q209" s="78"/>
      <c r="R209" s="78"/>
      <c r="S209" s="78"/>
      <c r="T209" s="78"/>
      <c r="U209" s="78"/>
      <c r="V209" s="78"/>
      <c r="W209" s="78"/>
      <c r="X209" s="78"/>
      <c r="Y209" s="78"/>
      <c r="Z209" s="78"/>
      <c r="AA209" s="78"/>
      <c r="AB209" s="78"/>
    </row>
    <row r="210" spans="1:28" s="79" customFormat="1" ht="12.6" customHeight="1" x14ac:dyDescent="0.3">
      <c r="A210" s="102"/>
      <c r="B210" s="78"/>
      <c r="C210" s="78"/>
      <c r="D210" s="78"/>
      <c r="E210" s="78"/>
      <c r="F210" s="78"/>
      <c r="H210" s="78"/>
      <c r="I210" s="78"/>
      <c r="J210" s="78"/>
      <c r="K210" s="78"/>
      <c r="L210" s="78"/>
      <c r="M210" s="78"/>
      <c r="N210" s="78"/>
      <c r="O210" s="78"/>
      <c r="P210" s="78"/>
      <c r="Q210" s="78"/>
      <c r="R210" s="78"/>
      <c r="S210" s="78"/>
      <c r="T210" s="78"/>
      <c r="U210" s="78"/>
      <c r="V210" s="78"/>
      <c r="W210" s="78"/>
      <c r="X210" s="78"/>
      <c r="Y210" s="78"/>
      <c r="Z210" s="78"/>
      <c r="AA210" s="78"/>
      <c r="AB210" s="78"/>
    </row>
    <row r="211" spans="1:28" s="79" customFormat="1" ht="12.6" customHeight="1" x14ac:dyDescent="0.3">
      <c r="A211" s="102"/>
      <c r="B211" s="78"/>
      <c r="C211" s="78"/>
      <c r="D211" s="78"/>
      <c r="E211" s="78"/>
      <c r="F211" s="78"/>
      <c r="H211" s="78"/>
      <c r="I211" s="78"/>
      <c r="J211" s="78"/>
      <c r="K211" s="78"/>
      <c r="L211" s="78"/>
      <c r="M211" s="78"/>
      <c r="N211" s="78"/>
      <c r="O211" s="78"/>
      <c r="P211" s="78"/>
      <c r="Q211" s="78"/>
      <c r="R211" s="78"/>
      <c r="S211" s="78"/>
      <c r="T211" s="78"/>
      <c r="U211" s="78"/>
      <c r="V211" s="78"/>
      <c r="W211" s="78"/>
      <c r="X211" s="78"/>
      <c r="Y211" s="78"/>
      <c r="Z211" s="78"/>
      <c r="AA211" s="78"/>
      <c r="AB211" s="78"/>
    </row>
    <row r="212" spans="1:28" s="79" customFormat="1" ht="12.6" customHeight="1" x14ac:dyDescent="0.3">
      <c r="A212" s="102"/>
      <c r="B212" s="78"/>
      <c r="C212" s="78"/>
      <c r="D212" s="78"/>
      <c r="E212" s="78"/>
      <c r="F212" s="78"/>
      <c r="H212" s="78"/>
      <c r="I212" s="78"/>
      <c r="J212" s="78"/>
      <c r="K212" s="78"/>
      <c r="L212" s="78"/>
      <c r="M212" s="78"/>
      <c r="N212" s="78"/>
      <c r="O212" s="78"/>
      <c r="P212" s="78"/>
      <c r="Q212" s="78"/>
      <c r="R212" s="78"/>
      <c r="S212" s="78"/>
      <c r="T212" s="78"/>
      <c r="U212" s="78"/>
      <c r="V212" s="78"/>
      <c r="W212" s="78"/>
      <c r="X212" s="78"/>
      <c r="Y212" s="78"/>
      <c r="Z212" s="78"/>
      <c r="AA212" s="78"/>
      <c r="AB212" s="78"/>
    </row>
    <row r="213" spans="1:28" s="79" customFormat="1" ht="12.6" customHeight="1" x14ac:dyDescent="0.3">
      <c r="A213" s="102"/>
      <c r="B213" s="78"/>
      <c r="C213" s="78"/>
      <c r="D213" s="78"/>
      <c r="E213" s="78"/>
      <c r="F213" s="78"/>
      <c r="H213" s="78"/>
      <c r="I213" s="78"/>
      <c r="J213" s="78"/>
      <c r="K213" s="78"/>
      <c r="L213" s="78"/>
      <c r="M213" s="78"/>
      <c r="N213" s="78"/>
      <c r="O213" s="78"/>
      <c r="P213" s="78"/>
      <c r="Q213" s="78"/>
      <c r="R213" s="78"/>
      <c r="S213" s="78"/>
      <c r="T213" s="78"/>
      <c r="U213" s="78"/>
      <c r="V213" s="78"/>
      <c r="W213" s="78"/>
      <c r="X213" s="78"/>
      <c r="Y213" s="78"/>
      <c r="Z213" s="78"/>
      <c r="AA213" s="78"/>
      <c r="AB213" s="78"/>
    </row>
    <row r="214" spans="1:28" s="79" customFormat="1" ht="12.6" customHeight="1" x14ac:dyDescent="0.3">
      <c r="A214" s="102"/>
      <c r="B214" s="78"/>
      <c r="C214" s="78"/>
      <c r="D214" s="78"/>
      <c r="E214" s="78"/>
      <c r="F214" s="78"/>
      <c r="H214" s="78"/>
      <c r="I214" s="78"/>
      <c r="J214" s="78"/>
      <c r="K214" s="78"/>
      <c r="L214" s="78"/>
      <c r="M214" s="78"/>
      <c r="N214" s="78"/>
      <c r="O214" s="78"/>
      <c r="P214" s="78"/>
      <c r="Q214" s="78"/>
      <c r="R214" s="78"/>
      <c r="S214" s="78"/>
      <c r="T214" s="78"/>
      <c r="U214" s="78"/>
      <c r="V214" s="78"/>
      <c r="W214" s="78"/>
      <c r="X214" s="78"/>
      <c r="Y214" s="78"/>
      <c r="Z214" s="78"/>
      <c r="AA214" s="78"/>
      <c r="AB214" s="78"/>
    </row>
    <row r="215" spans="1:28" s="79" customFormat="1" ht="12.6" customHeight="1" x14ac:dyDescent="0.3">
      <c r="A215" s="102"/>
      <c r="B215" s="78"/>
      <c r="C215" s="78"/>
      <c r="D215" s="78"/>
      <c r="E215" s="78"/>
      <c r="F215" s="78"/>
      <c r="H215" s="78"/>
      <c r="I215" s="78"/>
      <c r="J215" s="78"/>
      <c r="K215" s="78"/>
      <c r="L215" s="78"/>
      <c r="M215" s="78"/>
      <c r="N215" s="78"/>
      <c r="O215" s="78"/>
      <c r="P215" s="78"/>
      <c r="Q215" s="78"/>
      <c r="R215" s="78"/>
      <c r="S215" s="78"/>
      <c r="T215" s="78"/>
      <c r="U215" s="78"/>
      <c r="V215" s="78"/>
      <c r="W215" s="78"/>
      <c r="X215" s="78"/>
      <c r="Y215" s="78"/>
      <c r="Z215" s="78"/>
      <c r="AA215" s="78"/>
      <c r="AB215" s="78"/>
    </row>
    <row r="216" spans="1:28" s="79" customFormat="1" ht="12.6" customHeight="1" x14ac:dyDescent="0.3">
      <c r="A216" s="102"/>
      <c r="B216" s="78"/>
      <c r="C216" s="78"/>
      <c r="D216" s="78"/>
      <c r="E216" s="78"/>
      <c r="F216" s="78"/>
      <c r="H216" s="78"/>
      <c r="I216" s="78"/>
      <c r="J216" s="78"/>
      <c r="K216" s="78"/>
      <c r="L216" s="78"/>
      <c r="M216" s="78"/>
      <c r="N216" s="78"/>
      <c r="O216" s="78"/>
      <c r="P216" s="78"/>
      <c r="Q216" s="78"/>
      <c r="R216" s="78"/>
      <c r="S216" s="78"/>
      <c r="T216" s="78"/>
      <c r="U216" s="78"/>
      <c r="V216" s="78"/>
      <c r="W216" s="78"/>
      <c r="X216" s="78"/>
      <c r="Y216" s="78"/>
      <c r="Z216" s="78"/>
      <c r="AA216" s="78"/>
      <c r="AB216" s="78"/>
    </row>
    <row r="217" spans="1:28" s="79" customFormat="1" ht="12.6" customHeight="1" x14ac:dyDescent="0.3">
      <c r="A217" s="102"/>
      <c r="B217" s="78"/>
      <c r="C217" s="78"/>
      <c r="D217" s="78"/>
      <c r="E217" s="78"/>
      <c r="F217" s="78"/>
      <c r="H217" s="78"/>
      <c r="I217" s="78"/>
      <c r="J217" s="78"/>
      <c r="K217" s="78"/>
      <c r="L217" s="78"/>
      <c r="M217" s="78"/>
      <c r="N217" s="78"/>
      <c r="O217" s="78"/>
      <c r="P217" s="78"/>
      <c r="Q217" s="78"/>
      <c r="R217" s="78"/>
      <c r="S217" s="78"/>
      <c r="T217" s="78"/>
      <c r="U217" s="78"/>
      <c r="V217" s="78"/>
      <c r="W217" s="78"/>
      <c r="X217" s="78"/>
      <c r="Y217" s="78"/>
      <c r="Z217" s="78"/>
      <c r="AA217" s="78"/>
      <c r="AB217" s="78"/>
    </row>
    <row r="218" spans="1:28" s="79" customFormat="1" ht="12.6" customHeight="1" x14ac:dyDescent="0.3">
      <c r="A218" s="102"/>
      <c r="B218" s="78"/>
      <c r="C218" s="78"/>
      <c r="D218" s="78"/>
      <c r="E218" s="78"/>
      <c r="F218" s="78"/>
      <c r="H218" s="78"/>
      <c r="I218" s="78"/>
      <c r="J218" s="78"/>
      <c r="K218" s="78"/>
      <c r="L218" s="78"/>
      <c r="M218" s="78"/>
      <c r="N218" s="78"/>
      <c r="O218" s="78"/>
      <c r="P218" s="78"/>
      <c r="Q218" s="78"/>
      <c r="R218" s="78"/>
      <c r="S218" s="78"/>
      <c r="T218" s="78"/>
      <c r="U218" s="78"/>
      <c r="V218" s="78"/>
      <c r="W218" s="78"/>
      <c r="X218" s="78"/>
      <c r="Y218" s="78"/>
      <c r="Z218" s="78"/>
      <c r="AA218" s="78"/>
      <c r="AB218" s="78"/>
    </row>
    <row r="219" spans="1:28" s="79" customFormat="1" ht="12.6" customHeight="1" x14ac:dyDescent="0.3">
      <c r="A219" s="102"/>
      <c r="B219" s="78"/>
      <c r="C219" s="78"/>
      <c r="D219" s="78"/>
      <c r="E219" s="78"/>
      <c r="F219" s="78"/>
      <c r="H219" s="78"/>
      <c r="I219" s="78"/>
      <c r="J219" s="78"/>
      <c r="K219" s="78"/>
      <c r="L219" s="78"/>
      <c r="M219" s="78"/>
      <c r="N219" s="78"/>
      <c r="O219" s="78"/>
      <c r="P219" s="78"/>
      <c r="Q219" s="78"/>
      <c r="R219" s="78"/>
      <c r="S219" s="78"/>
      <c r="T219" s="78"/>
      <c r="U219" s="78"/>
      <c r="V219" s="78"/>
      <c r="W219" s="78"/>
      <c r="X219" s="78"/>
      <c r="Y219" s="78"/>
      <c r="Z219" s="78"/>
      <c r="AA219" s="78"/>
      <c r="AB219" s="78"/>
    </row>
    <row r="220" spans="1:28" s="79" customFormat="1" ht="12.6" customHeight="1" x14ac:dyDescent="0.3">
      <c r="A220" s="102"/>
      <c r="B220" s="78"/>
      <c r="C220" s="78"/>
      <c r="D220" s="78"/>
      <c r="E220" s="78"/>
      <c r="F220" s="78"/>
      <c r="H220" s="78"/>
      <c r="I220" s="78"/>
      <c r="J220" s="78"/>
      <c r="K220" s="78"/>
      <c r="L220" s="78"/>
      <c r="M220" s="78"/>
      <c r="N220" s="78"/>
      <c r="O220" s="78"/>
      <c r="P220" s="78"/>
      <c r="Q220" s="78"/>
      <c r="R220" s="78"/>
      <c r="S220" s="78"/>
      <c r="T220" s="78"/>
      <c r="U220" s="78"/>
      <c r="V220" s="78"/>
      <c r="W220" s="78"/>
      <c r="X220" s="78"/>
      <c r="Y220" s="78"/>
      <c r="Z220" s="78"/>
      <c r="AA220" s="78"/>
      <c r="AB220" s="78"/>
    </row>
    <row r="221" spans="1:28" s="79" customFormat="1" ht="12.6" customHeight="1" x14ac:dyDescent="0.3">
      <c r="A221" s="102"/>
      <c r="B221" s="78"/>
      <c r="C221" s="78"/>
      <c r="D221" s="78"/>
      <c r="E221" s="78"/>
      <c r="F221" s="78"/>
      <c r="H221" s="78"/>
      <c r="I221" s="78"/>
      <c r="J221" s="78"/>
      <c r="K221" s="78"/>
      <c r="L221" s="78"/>
      <c r="M221" s="78"/>
      <c r="N221" s="78"/>
      <c r="O221" s="78"/>
      <c r="P221" s="78"/>
      <c r="Q221" s="78"/>
      <c r="R221" s="78"/>
      <c r="S221" s="78"/>
      <c r="T221" s="78"/>
      <c r="U221" s="78"/>
      <c r="V221" s="78"/>
      <c r="W221" s="78"/>
      <c r="X221" s="78"/>
      <c r="Y221" s="78"/>
      <c r="Z221" s="78"/>
      <c r="AA221" s="78"/>
      <c r="AB221" s="78"/>
    </row>
    <row r="222" spans="1:28" s="79" customFormat="1" ht="12.6" customHeight="1" x14ac:dyDescent="0.3">
      <c r="A222" s="102"/>
      <c r="B222" s="78"/>
      <c r="C222" s="78"/>
      <c r="D222" s="78"/>
      <c r="E222" s="78"/>
      <c r="F222" s="78"/>
      <c r="H222" s="78"/>
      <c r="I222" s="78"/>
      <c r="J222" s="78"/>
      <c r="K222" s="78"/>
      <c r="L222" s="78"/>
      <c r="M222" s="78"/>
      <c r="N222" s="78"/>
      <c r="O222" s="78"/>
      <c r="P222" s="78"/>
      <c r="Q222" s="78"/>
      <c r="R222" s="78"/>
      <c r="S222" s="78"/>
      <c r="T222" s="78"/>
      <c r="U222" s="78"/>
      <c r="V222" s="78"/>
      <c r="W222" s="78"/>
      <c r="X222" s="78"/>
      <c r="Y222" s="78"/>
      <c r="Z222" s="78"/>
      <c r="AA222" s="78"/>
      <c r="AB222" s="78"/>
    </row>
    <row r="223" spans="1:28" s="79" customFormat="1" ht="12.6" customHeight="1" x14ac:dyDescent="0.3">
      <c r="A223" s="102"/>
      <c r="B223" s="78"/>
      <c r="C223" s="78"/>
      <c r="D223" s="78"/>
      <c r="E223" s="78"/>
      <c r="F223" s="78"/>
      <c r="H223" s="78"/>
      <c r="I223" s="78"/>
      <c r="J223" s="78"/>
      <c r="K223" s="78"/>
      <c r="L223" s="78"/>
      <c r="M223" s="78"/>
      <c r="N223" s="78"/>
      <c r="O223" s="78"/>
      <c r="P223" s="78"/>
      <c r="Q223" s="78"/>
      <c r="R223" s="78"/>
      <c r="S223" s="78"/>
      <c r="T223" s="78"/>
      <c r="U223" s="78"/>
      <c r="V223" s="78"/>
      <c r="W223" s="78"/>
      <c r="X223" s="78"/>
      <c r="Y223" s="78"/>
      <c r="Z223" s="78"/>
      <c r="AA223" s="78"/>
      <c r="AB223" s="78"/>
    </row>
    <row r="224" spans="1:28" s="79" customFormat="1" ht="12.6" customHeight="1" x14ac:dyDescent="0.3">
      <c r="A224" s="102"/>
      <c r="B224" s="78"/>
      <c r="C224" s="78"/>
      <c r="D224" s="78"/>
      <c r="E224" s="78"/>
      <c r="F224" s="78"/>
      <c r="H224" s="78"/>
      <c r="I224" s="78"/>
      <c r="J224" s="78"/>
      <c r="K224" s="78"/>
      <c r="L224" s="78"/>
      <c r="M224" s="78"/>
      <c r="N224" s="78"/>
      <c r="O224" s="78"/>
      <c r="P224" s="78"/>
      <c r="Q224" s="78"/>
      <c r="R224" s="78"/>
      <c r="S224" s="78"/>
      <c r="T224" s="78"/>
      <c r="U224" s="78"/>
      <c r="V224" s="78"/>
      <c r="W224" s="78"/>
      <c r="X224" s="78"/>
      <c r="Y224" s="78"/>
      <c r="Z224" s="78"/>
      <c r="AA224" s="78"/>
      <c r="AB224" s="78"/>
    </row>
    <row r="225" spans="1:28" s="79" customFormat="1" ht="12.6" customHeight="1" x14ac:dyDescent="0.3">
      <c r="A225" s="102"/>
      <c r="B225" s="78"/>
      <c r="C225" s="78"/>
      <c r="D225" s="78"/>
      <c r="E225" s="78"/>
      <c r="F225" s="78"/>
      <c r="H225" s="78"/>
      <c r="I225" s="78"/>
      <c r="J225" s="78"/>
      <c r="K225" s="78"/>
      <c r="L225" s="78"/>
      <c r="M225" s="78"/>
      <c r="N225" s="78"/>
      <c r="O225" s="78"/>
      <c r="P225" s="78"/>
      <c r="Q225" s="78"/>
      <c r="R225" s="78"/>
      <c r="S225" s="78"/>
      <c r="T225" s="78"/>
      <c r="U225" s="78"/>
      <c r="V225" s="78"/>
      <c r="W225" s="78"/>
      <c r="X225" s="78"/>
      <c r="Y225" s="78"/>
      <c r="Z225" s="78"/>
      <c r="AA225" s="78"/>
      <c r="AB225" s="78"/>
    </row>
    <row r="226" spans="1:28" s="79" customFormat="1" ht="12.6" customHeight="1" x14ac:dyDescent="0.3">
      <c r="A226" s="102"/>
      <c r="B226" s="78"/>
      <c r="C226" s="78"/>
      <c r="D226" s="78"/>
      <c r="E226" s="78"/>
      <c r="F226" s="78"/>
      <c r="H226" s="78"/>
      <c r="I226" s="78"/>
      <c r="J226" s="78"/>
      <c r="K226" s="78"/>
      <c r="L226" s="78"/>
      <c r="M226" s="78"/>
      <c r="N226" s="78"/>
      <c r="O226" s="78"/>
      <c r="P226" s="78"/>
      <c r="Q226" s="78"/>
      <c r="R226" s="78"/>
      <c r="S226" s="78"/>
      <c r="T226" s="78"/>
      <c r="U226" s="78"/>
      <c r="V226" s="78"/>
      <c r="W226" s="78"/>
      <c r="X226" s="78"/>
      <c r="Y226" s="78"/>
      <c r="Z226" s="78"/>
      <c r="AA226" s="78"/>
      <c r="AB226" s="78"/>
    </row>
    <row r="227" spans="1:28" s="79" customFormat="1" ht="12.6" customHeight="1" x14ac:dyDescent="0.3">
      <c r="A227" s="102"/>
      <c r="B227" s="78"/>
      <c r="C227" s="78"/>
      <c r="D227" s="78"/>
      <c r="E227" s="78"/>
      <c r="F227" s="78"/>
      <c r="H227" s="78"/>
      <c r="I227" s="78"/>
      <c r="J227" s="78"/>
      <c r="K227" s="78"/>
      <c r="L227" s="78"/>
      <c r="M227" s="78"/>
      <c r="N227" s="78"/>
      <c r="O227" s="78"/>
      <c r="P227" s="78"/>
      <c r="Q227" s="78"/>
      <c r="R227" s="78"/>
      <c r="S227" s="78"/>
      <c r="T227" s="78"/>
      <c r="U227" s="78"/>
      <c r="V227" s="78"/>
      <c r="W227" s="78"/>
      <c r="X227" s="78"/>
      <c r="Y227" s="78"/>
      <c r="Z227" s="78"/>
      <c r="AA227" s="78"/>
      <c r="AB227" s="78"/>
    </row>
    <row r="228" spans="1:28" s="79" customFormat="1" ht="12.6" customHeight="1" x14ac:dyDescent="0.3">
      <c r="A228" s="102"/>
      <c r="B228" s="78"/>
      <c r="C228" s="78"/>
      <c r="D228" s="78"/>
      <c r="E228" s="78"/>
      <c r="F228" s="78"/>
      <c r="H228" s="78"/>
      <c r="I228" s="78"/>
      <c r="J228" s="78"/>
      <c r="K228" s="78"/>
      <c r="L228" s="78"/>
      <c r="M228" s="78"/>
      <c r="N228" s="78"/>
      <c r="O228" s="78"/>
      <c r="P228" s="78"/>
      <c r="Q228" s="78"/>
      <c r="R228" s="78"/>
      <c r="S228" s="78"/>
      <c r="T228" s="78"/>
      <c r="U228" s="78"/>
      <c r="V228" s="78"/>
      <c r="W228" s="78"/>
      <c r="X228" s="78"/>
      <c r="Y228" s="78"/>
      <c r="Z228" s="78"/>
      <c r="AA228" s="78"/>
      <c r="AB228" s="78"/>
    </row>
    <row r="229" spans="1:28" s="79" customFormat="1" ht="12.6" customHeight="1" x14ac:dyDescent="0.3">
      <c r="A229" s="102"/>
      <c r="B229" s="78"/>
      <c r="C229" s="78"/>
      <c r="D229" s="78"/>
      <c r="E229" s="78"/>
      <c r="F229" s="78"/>
      <c r="H229" s="78"/>
      <c r="I229" s="78"/>
      <c r="J229" s="78"/>
      <c r="K229" s="78"/>
      <c r="L229" s="78"/>
      <c r="M229" s="78"/>
      <c r="N229" s="78"/>
      <c r="O229" s="78"/>
      <c r="P229" s="78"/>
      <c r="Q229" s="78"/>
      <c r="R229" s="78"/>
      <c r="S229" s="78"/>
      <c r="T229" s="78"/>
      <c r="U229" s="78"/>
      <c r="V229" s="78"/>
      <c r="W229" s="78"/>
      <c r="X229" s="78"/>
      <c r="Y229" s="78"/>
      <c r="Z229" s="78"/>
      <c r="AA229" s="78"/>
      <c r="AB229" s="78"/>
    </row>
    <row r="230" spans="1:28" s="79" customFormat="1" ht="12.6" customHeight="1" x14ac:dyDescent="0.3">
      <c r="A230" s="102"/>
      <c r="B230" s="78"/>
      <c r="C230" s="78"/>
      <c r="D230" s="78"/>
      <c r="E230" s="78"/>
      <c r="F230" s="78"/>
      <c r="H230" s="78"/>
      <c r="I230" s="78"/>
      <c r="J230" s="78"/>
      <c r="K230" s="78"/>
      <c r="L230" s="78"/>
      <c r="M230" s="78"/>
      <c r="N230" s="78"/>
      <c r="O230" s="78"/>
      <c r="P230" s="78"/>
      <c r="Q230" s="78"/>
      <c r="R230" s="78"/>
      <c r="S230" s="78"/>
      <c r="T230" s="78"/>
      <c r="U230" s="78"/>
      <c r="V230" s="78"/>
      <c r="W230" s="78"/>
      <c r="X230" s="78"/>
      <c r="Y230" s="78"/>
      <c r="Z230" s="78"/>
      <c r="AA230" s="78"/>
      <c r="AB230" s="78"/>
    </row>
    <row r="231" spans="1:28" s="79" customFormat="1" ht="12.6" customHeight="1" x14ac:dyDescent="0.3">
      <c r="A231" s="102"/>
      <c r="B231" s="78"/>
      <c r="C231" s="78"/>
      <c r="D231" s="78"/>
      <c r="E231" s="78"/>
      <c r="F231" s="78"/>
      <c r="H231" s="78"/>
      <c r="I231" s="78"/>
      <c r="J231" s="78"/>
      <c r="K231" s="78"/>
      <c r="L231" s="78"/>
      <c r="M231" s="78"/>
      <c r="N231" s="78"/>
      <c r="O231" s="78"/>
      <c r="P231" s="78"/>
      <c r="Q231" s="78"/>
      <c r="R231" s="78"/>
      <c r="S231" s="78"/>
      <c r="T231" s="78"/>
      <c r="U231" s="78"/>
      <c r="V231" s="78"/>
      <c r="W231" s="78"/>
      <c r="X231" s="78"/>
      <c r="Y231" s="78"/>
      <c r="Z231" s="78"/>
      <c r="AA231" s="78"/>
      <c r="AB231" s="78"/>
    </row>
    <row r="232" spans="1:28" s="79" customFormat="1" ht="12.6" customHeight="1" x14ac:dyDescent="0.3">
      <c r="A232" s="102"/>
      <c r="B232" s="78"/>
      <c r="C232" s="78"/>
      <c r="D232" s="78"/>
      <c r="E232" s="78"/>
      <c r="F232" s="78"/>
      <c r="H232" s="78"/>
      <c r="I232" s="78"/>
      <c r="J232" s="78"/>
      <c r="K232" s="78"/>
      <c r="L232" s="78"/>
      <c r="M232" s="78"/>
      <c r="N232" s="78"/>
      <c r="O232" s="78"/>
      <c r="P232" s="78"/>
      <c r="Q232" s="78"/>
      <c r="R232" s="78"/>
      <c r="S232" s="78"/>
      <c r="T232" s="78"/>
      <c r="U232" s="78"/>
      <c r="V232" s="78"/>
      <c r="W232" s="78"/>
      <c r="X232" s="78"/>
      <c r="Y232" s="78"/>
      <c r="Z232" s="78"/>
      <c r="AA232" s="78"/>
      <c r="AB232" s="78"/>
    </row>
    <row r="233" spans="1:28" s="79" customFormat="1" ht="12.6" customHeight="1" x14ac:dyDescent="0.3">
      <c r="A233" s="102"/>
      <c r="B233" s="78"/>
      <c r="C233" s="78"/>
      <c r="D233" s="78"/>
      <c r="E233" s="78"/>
      <c r="F233" s="78"/>
      <c r="H233" s="78"/>
      <c r="I233" s="78"/>
      <c r="J233" s="78"/>
      <c r="K233" s="78"/>
      <c r="L233" s="78"/>
      <c r="M233" s="78"/>
      <c r="N233" s="78"/>
      <c r="O233" s="78"/>
      <c r="P233" s="78"/>
      <c r="Q233" s="78"/>
      <c r="R233" s="78"/>
      <c r="S233" s="78"/>
      <c r="T233" s="78"/>
      <c r="U233" s="78"/>
      <c r="V233" s="78"/>
      <c r="W233" s="78"/>
      <c r="X233" s="78"/>
      <c r="Y233" s="78"/>
      <c r="Z233" s="78"/>
      <c r="AA233" s="78"/>
      <c r="AB233" s="78"/>
    </row>
    <row r="234" spans="1:28" s="79" customFormat="1" ht="12.6" customHeight="1" x14ac:dyDescent="0.3">
      <c r="A234" s="102"/>
      <c r="B234" s="78"/>
      <c r="C234" s="78"/>
      <c r="D234" s="78"/>
      <c r="E234" s="78"/>
      <c r="F234" s="78"/>
      <c r="H234" s="78"/>
      <c r="I234" s="78"/>
      <c r="J234" s="78"/>
      <c r="K234" s="78"/>
      <c r="L234" s="78"/>
      <c r="M234" s="78"/>
      <c r="N234" s="78"/>
      <c r="O234" s="78"/>
      <c r="P234" s="78"/>
      <c r="Q234" s="78"/>
      <c r="R234" s="78"/>
      <c r="S234" s="78"/>
      <c r="T234" s="78"/>
      <c r="U234" s="78"/>
      <c r="V234" s="78"/>
      <c r="W234" s="78"/>
      <c r="X234" s="78"/>
      <c r="Y234" s="78"/>
      <c r="Z234" s="78"/>
      <c r="AA234" s="78"/>
      <c r="AB234" s="78"/>
    </row>
    <row r="235" spans="1:28" s="79" customFormat="1" ht="12.6" customHeight="1" x14ac:dyDescent="0.3">
      <c r="A235" s="102"/>
      <c r="B235" s="78"/>
      <c r="C235" s="78"/>
      <c r="D235" s="78"/>
      <c r="E235" s="78"/>
      <c r="F235" s="78"/>
      <c r="H235" s="78"/>
      <c r="I235" s="78"/>
      <c r="J235" s="78"/>
      <c r="K235" s="78"/>
      <c r="L235" s="78"/>
      <c r="M235" s="78"/>
      <c r="N235" s="78"/>
      <c r="O235" s="78"/>
      <c r="P235" s="78"/>
      <c r="Q235" s="78"/>
      <c r="R235" s="78"/>
      <c r="S235" s="78"/>
      <c r="T235" s="78"/>
      <c r="U235" s="78"/>
      <c r="V235" s="78"/>
      <c r="W235" s="78"/>
      <c r="X235" s="78"/>
      <c r="Y235" s="78"/>
      <c r="Z235" s="78"/>
      <c r="AA235" s="78"/>
      <c r="AB235" s="78"/>
    </row>
    <row r="236" spans="1:28" s="79" customFormat="1" ht="12.6" customHeight="1" x14ac:dyDescent="0.3">
      <c r="A236" s="102"/>
      <c r="B236" s="78"/>
      <c r="C236" s="78"/>
      <c r="D236" s="78"/>
      <c r="E236" s="78"/>
      <c r="F236" s="78"/>
      <c r="H236" s="78"/>
      <c r="I236" s="78"/>
      <c r="J236" s="78"/>
      <c r="K236" s="78"/>
      <c r="L236" s="78"/>
      <c r="M236" s="78"/>
      <c r="N236" s="78"/>
      <c r="O236" s="78"/>
      <c r="P236" s="78"/>
      <c r="Q236" s="78"/>
      <c r="R236" s="78"/>
      <c r="S236" s="78"/>
      <c r="T236" s="78"/>
      <c r="U236" s="78"/>
      <c r="V236" s="78"/>
      <c r="W236" s="78"/>
      <c r="X236" s="78"/>
      <c r="Y236" s="78"/>
      <c r="Z236" s="78"/>
      <c r="AA236" s="78"/>
      <c r="AB236" s="78"/>
    </row>
    <row r="237" spans="1:28" s="79" customFormat="1" ht="12.6" customHeight="1" x14ac:dyDescent="0.3">
      <c r="A237" s="102"/>
      <c r="B237" s="78"/>
      <c r="C237" s="78"/>
      <c r="D237" s="78"/>
      <c r="E237" s="78"/>
      <c r="F237" s="78"/>
      <c r="H237" s="78"/>
      <c r="I237" s="78"/>
      <c r="J237" s="78"/>
      <c r="K237" s="78"/>
      <c r="L237" s="78"/>
      <c r="M237" s="78"/>
      <c r="N237" s="78"/>
      <c r="O237" s="78"/>
      <c r="P237" s="78"/>
      <c r="Q237" s="78"/>
      <c r="R237" s="78"/>
      <c r="S237" s="78"/>
      <c r="T237" s="78"/>
      <c r="U237" s="78"/>
      <c r="V237" s="78"/>
      <c r="W237" s="78"/>
      <c r="X237" s="78"/>
      <c r="Y237" s="78"/>
      <c r="Z237" s="78"/>
      <c r="AA237" s="78"/>
      <c r="AB237" s="78"/>
    </row>
    <row r="238" spans="1:28" s="79" customFormat="1" ht="12.6" customHeight="1" x14ac:dyDescent="0.3">
      <c r="A238" s="102"/>
      <c r="B238" s="78"/>
      <c r="C238" s="78"/>
      <c r="D238" s="78"/>
      <c r="E238" s="78"/>
      <c r="F238" s="78"/>
      <c r="H238" s="78"/>
      <c r="I238" s="78"/>
      <c r="J238" s="78"/>
      <c r="K238" s="78"/>
      <c r="L238" s="78"/>
      <c r="M238" s="78"/>
      <c r="N238" s="78"/>
      <c r="O238" s="78"/>
      <c r="P238" s="78"/>
      <c r="Q238" s="78"/>
      <c r="R238" s="78"/>
      <c r="S238" s="78"/>
      <c r="T238" s="78"/>
      <c r="U238" s="78"/>
      <c r="V238" s="78"/>
      <c r="W238" s="78"/>
      <c r="X238" s="78"/>
      <c r="Y238" s="78"/>
      <c r="Z238" s="78"/>
      <c r="AA238" s="78"/>
      <c r="AB238" s="78"/>
    </row>
    <row r="239" spans="1:28" s="79" customFormat="1" ht="12.6" customHeight="1" x14ac:dyDescent="0.3">
      <c r="A239" s="102"/>
      <c r="B239" s="78"/>
      <c r="C239" s="78"/>
      <c r="D239" s="78"/>
      <c r="E239" s="78"/>
      <c r="F239" s="78"/>
      <c r="H239" s="78"/>
      <c r="I239" s="78"/>
      <c r="J239" s="78"/>
      <c r="K239" s="78"/>
      <c r="L239" s="78"/>
      <c r="M239" s="78"/>
      <c r="N239" s="78"/>
      <c r="O239" s="78"/>
      <c r="P239" s="78"/>
      <c r="Q239" s="78"/>
      <c r="R239" s="78"/>
      <c r="S239" s="78"/>
      <c r="T239" s="78"/>
      <c r="U239" s="78"/>
      <c r="V239" s="78"/>
      <c r="W239" s="78"/>
      <c r="X239" s="78"/>
      <c r="Y239" s="78"/>
      <c r="Z239" s="78"/>
      <c r="AA239" s="78"/>
      <c r="AB239" s="78"/>
    </row>
    <row r="240" spans="1:28" s="79" customFormat="1" ht="12.6" customHeight="1" x14ac:dyDescent="0.3">
      <c r="A240" s="102"/>
      <c r="B240" s="78"/>
      <c r="C240" s="78"/>
      <c r="D240" s="78"/>
      <c r="E240" s="78"/>
      <c r="F240" s="78"/>
      <c r="H240" s="78"/>
      <c r="I240" s="78"/>
      <c r="J240" s="78"/>
      <c r="K240" s="78"/>
      <c r="L240" s="78"/>
      <c r="M240" s="78"/>
      <c r="N240" s="78"/>
      <c r="O240" s="78"/>
      <c r="P240" s="78"/>
      <c r="Q240" s="78"/>
      <c r="R240" s="78"/>
      <c r="S240" s="78"/>
      <c r="T240" s="78"/>
      <c r="U240" s="78"/>
      <c r="V240" s="78"/>
      <c r="W240" s="78"/>
      <c r="X240" s="78"/>
      <c r="Y240" s="78"/>
      <c r="Z240" s="78"/>
      <c r="AA240" s="78"/>
      <c r="AB240" s="78"/>
    </row>
    <row r="241" spans="1:28" s="79" customFormat="1" ht="12.6" customHeight="1" x14ac:dyDescent="0.3">
      <c r="A241" s="102"/>
      <c r="B241" s="78"/>
      <c r="C241" s="78"/>
      <c r="D241" s="78"/>
      <c r="E241" s="78"/>
      <c r="F241" s="78"/>
      <c r="H241" s="78"/>
      <c r="I241" s="78"/>
      <c r="J241" s="78"/>
      <c r="K241" s="78"/>
      <c r="L241" s="78"/>
      <c r="M241" s="78"/>
      <c r="N241" s="78"/>
      <c r="O241" s="78"/>
      <c r="P241" s="78"/>
      <c r="Q241" s="78"/>
      <c r="R241" s="78"/>
      <c r="S241" s="78"/>
      <c r="T241" s="78"/>
      <c r="U241" s="78"/>
      <c r="V241" s="78"/>
      <c r="W241" s="78"/>
      <c r="X241" s="78"/>
      <c r="Y241" s="78"/>
      <c r="Z241" s="78"/>
      <c r="AA241" s="78"/>
      <c r="AB241" s="78"/>
    </row>
    <row r="242" spans="1:28" s="79" customFormat="1" ht="12.6" customHeight="1" x14ac:dyDescent="0.3">
      <c r="A242" s="102"/>
      <c r="B242" s="78"/>
      <c r="C242" s="78"/>
      <c r="D242" s="78"/>
      <c r="E242" s="78"/>
      <c r="F242" s="78"/>
      <c r="H242" s="78"/>
      <c r="I242" s="78"/>
      <c r="J242" s="78"/>
      <c r="K242" s="78"/>
      <c r="L242" s="78"/>
      <c r="M242" s="78"/>
      <c r="N242" s="78"/>
      <c r="O242" s="78"/>
      <c r="P242" s="78"/>
      <c r="Q242" s="78"/>
      <c r="R242" s="78"/>
      <c r="S242" s="78"/>
      <c r="T242" s="78"/>
      <c r="U242" s="78"/>
      <c r="V242" s="78"/>
      <c r="W242" s="78"/>
      <c r="X242" s="78"/>
      <c r="Y242" s="78"/>
      <c r="Z242" s="78"/>
      <c r="AA242" s="78"/>
      <c r="AB242" s="78"/>
    </row>
    <row r="243" spans="1:28" s="79" customFormat="1" ht="12.6" customHeight="1" x14ac:dyDescent="0.3">
      <c r="A243" s="102"/>
      <c r="B243" s="78"/>
      <c r="C243" s="78"/>
      <c r="D243" s="78"/>
      <c r="E243" s="78"/>
      <c r="F243" s="78"/>
      <c r="H243" s="78"/>
      <c r="I243" s="78"/>
      <c r="J243" s="78"/>
      <c r="K243" s="78"/>
      <c r="L243" s="78"/>
      <c r="M243" s="78"/>
      <c r="N243" s="78"/>
      <c r="O243" s="78"/>
      <c r="P243" s="78"/>
      <c r="Q243" s="78"/>
      <c r="R243" s="78"/>
      <c r="S243" s="78"/>
      <c r="T243" s="78"/>
      <c r="U243" s="78"/>
      <c r="V243" s="78"/>
      <c r="W243" s="78"/>
      <c r="X243" s="78"/>
      <c r="Y243" s="78"/>
      <c r="Z243" s="78"/>
      <c r="AA243" s="78"/>
      <c r="AB243" s="78"/>
    </row>
    <row r="244" spans="1:28" s="79" customFormat="1" ht="12.6" customHeight="1" x14ac:dyDescent="0.3">
      <c r="A244" s="102"/>
      <c r="B244" s="78"/>
      <c r="C244" s="78"/>
      <c r="D244" s="78"/>
      <c r="E244" s="78"/>
      <c r="F244" s="78"/>
      <c r="H244" s="78"/>
      <c r="I244" s="78"/>
      <c r="J244" s="78"/>
      <c r="K244" s="78"/>
      <c r="L244" s="78"/>
      <c r="M244" s="78"/>
      <c r="N244" s="78"/>
      <c r="O244" s="78"/>
      <c r="P244" s="78"/>
      <c r="Q244" s="78"/>
      <c r="R244" s="78"/>
      <c r="S244" s="78"/>
      <c r="T244" s="78"/>
      <c r="U244" s="78"/>
      <c r="V244" s="78"/>
      <c r="W244" s="78"/>
      <c r="X244" s="78"/>
      <c r="Y244" s="78"/>
      <c r="Z244" s="78"/>
      <c r="AA244" s="78"/>
      <c r="AB244" s="78"/>
    </row>
    <row r="245" spans="1:28" s="79" customFormat="1" ht="12.6" customHeight="1" x14ac:dyDescent="0.3">
      <c r="A245" s="102"/>
      <c r="B245" s="78"/>
      <c r="C245" s="78"/>
      <c r="D245" s="78"/>
      <c r="E245" s="78"/>
      <c r="F245" s="78"/>
      <c r="H245" s="78"/>
      <c r="I245" s="78"/>
      <c r="J245" s="78"/>
      <c r="K245" s="78"/>
      <c r="L245" s="78"/>
      <c r="M245" s="78"/>
      <c r="N245" s="78"/>
      <c r="O245" s="78"/>
      <c r="P245" s="78"/>
      <c r="Q245" s="78"/>
      <c r="R245" s="78"/>
      <c r="S245" s="78"/>
      <c r="T245" s="78"/>
      <c r="U245" s="78"/>
      <c r="V245" s="78"/>
      <c r="W245" s="78"/>
      <c r="X245" s="78"/>
      <c r="Y245" s="78"/>
      <c r="Z245" s="78"/>
      <c r="AA245" s="78"/>
      <c r="AB245" s="78"/>
    </row>
    <row r="246" spans="1:28" s="79" customFormat="1" ht="12.6" customHeight="1" x14ac:dyDescent="0.3">
      <c r="A246" s="102"/>
      <c r="B246" s="78"/>
      <c r="C246" s="78"/>
      <c r="D246" s="78"/>
      <c r="E246" s="78"/>
      <c r="F246" s="78"/>
      <c r="H246" s="78"/>
      <c r="I246" s="78"/>
      <c r="J246" s="78"/>
      <c r="K246" s="78"/>
      <c r="L246" s="78"/>
      <c r="M246" s="78"/>
      <c r="N246" s="78"/>
      <c r="O246" s="78"/>
      <c r="P246" s="78"/>
      <c r="Q246" s="78"/>
      <c r="R246" s="78"/>
      <c r="S246" s="78"/>
      <c r="T246" s="78"/>
      <c r="U246" s="78"/>
      <c r="V246" s="78"/>
      <c r="W246" s="78"/>
      <c r="X246" s="78"/>
      <c r="Y246" s="78"/>
      <c r="Z246" s="78"/>
      <c r="AA246" s="78"/>
      <c r="AB246" s="78"/>
    </row>
    <row r="247" spans="1:28" s="79" customFormat="1" ht="12.6" customHeight="1" x14ac:dyDescent="0.3">
      <c r="A247" s="102"/>
      <c r="B247" s="78"/>
      <c r="C247" s="78"/>
      <c r="D247" s="78"/>
      <c r="E247" s="78"/>
      <c r="F247" s="78"/>
      <c r="H247" s="78"/>
      <c r="I247" s="78"/>
      <c r="J247" s="78"/>
      <c r="K247" s="78"/>
      <c r="L247" s="78"/>
      <c r="M247" s="78"/>
      <c r="N247" s="78"/>
      <c r="O247" s="78"/>
      <c r="P247" s="78"/>
      <c r="Q247" s="78"/>
      <c r="R247" s="78"/>
      <c r="S247" s="78"/>
      <c r="T247" s="78"/>
      <c r="U247" s="78"/>
      <c r="V247" s="78"/>
      <c r="W247" s="78"/>
      <c r="X247" s="78"/>
      <c r="Y247" s="78"/>
      <c r="Z247" s="78"/>
      <c r="AA247" s="78"/>
      <c r="AB247" s="78"/>
    </row>
    <row r="248" spans="1:28" s="79" customFormat="1" ht="12.6" customHeight="1" x14ac:dyDescent="0.3">
      <c r="A248" s="102"/>
      <c r="B248" s="78"/>
      <c r="C248" s="78"/>
      <c r="D248" s="78"/>
      <c r="E248" s="78"/>
      <c r="F248" s="78"/>
      <c r="H248" s="78"/>
      <c r="I248" s="78"/>
      <c r="J248" s="78"/>
      <c r="K248" s="78"/>
      <c r="L248" s="78"/>
      <c r="M248" s="78"/>
      <c r="N248" s="78"/>
      <c r="O248" s="78"/>
      <c r="P248" s="78"/>
      <c r="Q248" s="78"/>
      <c r="R248" s="78"/>
      <c r="S248" s="78"/>
      <c r="T248" s="78"/>
      <c r="U248" s="78"/>
      <c r="V248" s="78"/>
      <c r="W248" s="78"/>
      <c r="X248" s="78"/>
      <c r="Y248" s="78"/>
      <c r="Z248" s="78"/>
      <c r="AA248" s="78"/>
      <c r="AB248" s="78"/>
    </row>
    <row r="249" spans="1:28" s="79" customFormat="1" ht="12.6" customHeight="1" x14ac:dyDescent="0.3">
      <c r="A249" s="102"/>
      <c r="B249" s="78"/>
      <c r="C249" s="78"/>
      <c r="D249" s="78"/>
      <c r="E249" s="78"/>
      <c r="F249" s="78"/>
      <c r="H249" s="78"/>
      <c r="I249" s="78"/>
      <c r="J249" s="78"/>
      <c r="K249" s="78"/>
      <c r="L249" s="78"/>
      <c r="M249" s="78"/>
      <c r="N249" s="78"/>
      <c r="O249" s="78"/>
      <c r="P249" s="78"/>
      <c r="Q249" s="78"/>
      <c r="R249" s="78"/>
      <c r="S249" s="78"/>
      <c r="T249" s="78"/>
      <c r="U249" s="78"/>
      <c r="V249" s="78"/>
      <c r="W249" s="78"/>
      <c r="X249" s="78"/>
      <c r="Y249" s="78"/>
      <c r="Z249" s="78"/>
      <c r="AA249" s="78"/>
      <c r="AB249" s="78"/>
    </row>
    <row r="250" spans="1:28" s="79" customFormat="1" ht="12.6" customHeight="1" x14ac:dyDescent="0.3">
      <c r="A250" s="102"/>
      <c r="B250" s="78"/>
      <c r="C250" s="78"/>
      <c r="D250" s="78"/>
      <c r="E250" s="78"/>
      <c r="F250" s="78"/>
      <c r="H250" s="78"/>
      <c r="I250" s="78"/>
      <c r="J250" s="78"/>
      <c r="K250" s="78"/>
      <c r="L250" s="78"/>
      <c r="M250" s="78"/>
      <c r="N250" s="78"/>
      <c r="O250" s="78"/>
      <c r="P250" s="78"/>
      <c r="Q250" s="78"/>
      <c r="R250" s="78"/>
      <c r="S250" s="78"/>
      <c r="T250" s="78"/>
      <c r="U250" s="78"/>
      <c r="V250" s="78"/>
      <c r="W250" s="78"/>
      <c r="X250" s="78"/>
      <c r="Y250" s="78"/>
      <c r="Z250" s="78"/>
      <c r="AA250" s="78"/>
      <c r="AB250" s="78"/>
    </row>
    <row r="251" spans="1:28" s="79" customFormat="1" ht="12.6" customHeight="1" x14ac:dyDescent="0.3">
      <c r="A251" s="102"/>
      <c r="B251" s="78"/>
      <c r="C251" s="78"/>
      <c r="D251" s="78"/>
      <c r="E251" s="78"/>
      <c r="F251" s="78"/>
      <c r="H251" s="78"/>
      <c r="I251" s="78"/>
      <c r="J251" s="78"/>
      <c r="K251" s="78"/>
      <c r="L251" s="78"/>
      <c r="M251" s="78"/>
      <c r="N251" s="78"/>
      <c r="O251" s="78"/>
      <c r="P251" s="78"/>
      <c r="Q251" s="78"/>
      <c r="R251" s="78"/>
      <c r="S251" s="78"/>
      <c r="T251" s="78"/>
      <c r="U251" s="78"/>
      <c r="V251" s="78"/>
      <c r="W251" s="78"/>
      <c r="X251" s="78"/>
      <c r="Y251" s="78"/>
      <c r="Z251" s="78"/>
      <c r="AA251" s="78"/>
      <c r="AB251" s="78"/>
    </row>
    <row r="252" spans="1:28" s="79" customFormat="1" ht="12.6" customHeight="1" x14ac:dyDescent="0.3">
      <c r="A252" s="102"/>
      <c r="B252" s="78"/>
      <c r="C252" s="78"/>
      <c r="D252" s="78"/>
      <c r="E252" s="78"/>
      <c r="F252" s="78"/>
      <c r="H252" s="78"/>
      <c r="I252" s="78"/>
      <c r="J252" s="78"/>
      <c r="K252" s="78"/>
      <c r="L252" s="78"/>
      <c r="M252" s="78"/>
      <c r="N252" s="78"/>
      <c r="O252" s="78"/>
      <c r="P252" s="78"/>
      <c r="Q252" s="78"/>
      <c r="R252" s="78"/>
      <c r="S252" s="78"/>
      <c r="T252" s="78"/>
      <c r="U252" s="78"/>
      <c r="V252" s="78"/>
      <c r="W252" s="78"/>
      <c r="X252" s="78"/>
      <c r="Y252" s="78"/>
      <c r="Z252" s="78"/>
      <c r="AA252" s="78"/>
      <c r="AB252" s="78"/>
    </row>
    <row r="253" spans="1:28" s="79" customFormat="1" ht="12.6" customHeight="1" x14ac:dyDescent="0.3">
      <c r="A253" s="102"/>
      <c r="B253" s="78"/>
      <c r="C253" s="78"/>
      <c r="D253" s="78"/>
      <c r="E253" s="78"/>
      <c r="F253" s="78"/>
      <c r="H253" s="78"/>
      <c r="I253" s="78"/>
      <c r="J253" s="78"/>
      <c r="K253" s="78"/>
      <c r="L253" s="78"/>
      <c r="M253" s="78"/>
      <c r="N253" s="78"/>
      <c r="O253" s="78"/>
      <c r="P253" s="78"/>
      <c r="Q253" s="78"/>
      <c r="R253" s="78"/>
      <c r="S253" s="78"/>
      <c r="T253" s="78"/>
      <c r="U253" s="78"/>
      <c r="V253" s="78"/>
      <c r="W253" s="78"/>
      <c r="X253" s="78"/>
      <c r="Y253" s="78"/>
      <c r="Z253" s="78"/>
      <c r="AA253" s="78"/>
      <c r="AB253" s="78"/>
    </row>
    <row r="254" spans="1:28" s="79" customFormat="1" ht="12.6" customHeight="1" x14ac:dyDescent="0.3">
      <c r="A254" s="102"/>
      <c r="B254" s="78"/>
      <c r="C254" s="78"/>
      <c r="D254" s="78"/>
      <c r="E254" s="78"/>
      <c r="F254" s="78"/>
      <c r="H254" s="78"/>
      <c r="I254" s="78"/>
      <c r="J254" s="78"/>
      <c r="K254" s="78"/>
      <c r="L254" s="78"/>
      <c r="M254" s="78"/>
      <c r="N254" s="78"/>
      <c r="O254" s="78"/>
      <c r="P254" s="78"/>
      <c r="Q254" s="78"/>
      <c r="R254" s="78"/>
      <c r="S254" s="78"/>
      <c r="T254" s="78"/>
      <c r="U254" s="78"/>
      <c r="V254" s="78"/>
      <c r="W254" s="78"/>
      <c r="X254" s="78"/>
      <c r="Y254" s="78"/>
      <c r="Z254" s="78"/>
      <c r="AA254" s="78"/>
      <c r="AB254" s="78"/>
    </row>
    <row r="255" spans="1:28" s="79" customFormat="1" ht="12.6" customHeight="1" x14ac:dyDescent="0.3">
      <c r="A255" s="102"/>
      <c r="B255" s="78"/>
      <c r="C255" s="78"/>
      <c r="D255" s="78"/>
      <c r="E255" s="78"/>
      <c r="F255" s="78"/>
      <c r="H255" s="78"/>
      <c r="I255" s="78"/>
      <c r="J255" s="78"/>
      <c r="K255" s="78"/>
      <c r="L255" s="78"/>
      <c r="M255" s="78"/>
      <c r="N255" s="78"/>
      <c r="O255" s="78"/>
      <c r="P255" s="78"/>
      <c r="Q255" s="78"/>
      <c r="R255" s="78"/>
      <c r="S255" s="78"/>
      <c r="T255" s="78"/>
      <c r="U255" s="78"/>
      <c r="V255" s="78"/>
      <c r="W255" s="78"/>
      <c r="X255" s="78"/>
      <c r="Y255" s="78"/>
      <c r="Z255" s="78"/>
      <c r="AA255" s="78"/>
      <c r="AB255" s="78"/>
    </row>
    <row r="256" spans="1:28" s="79" customFormat="1" ht="12.6" customHeight="1" x14ac:dyDescent="0.3">
      <c r="A256" s="102"/>
      <c r="B256" s="78"/>
      <c r="C256" s="78"/>
      <c r="D256" s="78"/>
      <c r="E256" s="78"/>
      <c r="F256" s="78"/>
      <c r="H256" s="78"/>
      <c r="I256" s="78"/>
      <c r="J256" s="78"/>
      <c r="K256" s="78"/>
      <c r="L256" s="78"/>
      <c r="M256" s="78"/>
      <c r="N256" s="78"/>
      <c r="O256" s="78"/>
      <c r="P256" s="78"/>
      <c r="Q256" s="78"/>
      <c r="R256" s="78"/>
      <c r="S256" s="78"/>
      <c r="T256" s="78"/>
      <c r="U256" s="78"/>
      <c r="V256" s="78"/>
      <c r="W256" s="78"/>
      <c r="X256" s="78"/>
      <c r="Y256" s="78"/>
      <c r="Z256" s="78"/>
      <c r="AA256" s="78"/>
      <c r="AB256" s="78"/>
    </row>
    <row r="257" spans="1:28" s="79" customFormat="1" ht="12.6" customHeight="1" x14ac:dyDescent="0.3">
      <c r="A257" s="102"/>
      <c r="B257" s="78"/>
      <c r="C257" s="78"/>
      <c r="D257" s="78"/>
      <c r="E257" s="78"/>
      <c r="F257" s="78"/>
      <c r="H257" s="78"/>
      <c r="I257" s="78"/>
      <c r="J257" s="78"/>
      <c r="K257" s="78"/>
      <c r="L257" s="78"/>
      <c r="M257" s="78"/>
      <c r="N257" s="78"/>
      <c r="O257" s="78"/>
      <c r="P257" s="78"/>
      <c r="Q257" s="78"/>
      <c r="R257" s="78"/>
      <c r="S257" s="78"/>
      <c r="T257" s="78"/>
      <c r="U257" s="78"/>
      <c r="V257" s="78"/>
      <c r="W257" s="78"/>
      <c r="X257" s="78"/>
      <c r="Y257" s="78"/>
      <c r="Z257" s="78"/>
      <c r="AA257" s="78"/>
      <c r="AB257" s="78"/>
    </row>
    <row r="258" spans="1:28" s="79" customFormat="1" ht="12.6" customHeight="1" x14ac:dyDescent="0.3">
      <c r="A258" s="102"/>
      <c r="B258" s="78"/>
      <c r="C258" s="78"/>
      <c r="D258" s="78"/>
      <c r="E258" s="78"/>
      <c r="F258" s="78"/>
      <c r="H258" s="78"/>
      <c r="I258" s="78"/>
      <c r="J258" s="78"/>
      <c r="K258" s="78"/>
      <c r="L258" s="78"/>
      <c r="M258" s="78"/>
      <c r="N258" s="78"/>
      <c r="O258" s="78"/>
      <c r="P258" s="78"/>
      <c r="Q258" s="78"/>
      <c r="R258" s="78"/>
      <c r="S258" s="78"/>
      <c r="T258" s="78"/>
      <c r="U258" s="78"/>
      <c r="V258" s="78"/>
      <c r="W258" s="78"/>
      <c r="X258" s="78"/>
      <c r="Y258" s="78"/>
      <c r="Z258" s="78"/>
      <c r="AA258" s="78"/>
      <c r="AB258" s="78"/>
    </row>
    <row r="259" spans="1:28" s="79" customFormat="1" ht="12.6" customHeight="1" x14ac:dyDescent="0.3">
      <c r="A259" s="102"/>
      <c r="B259" s="78"/>
      <c r="C259" s="78"/>
      <c r="D259" s="78"/>
      <c r="E259" s="78"/>
      <c r="F259" s="78"/>
      <c r="H259" s="78"/>
      <c r="I259" s="78"/>
      <c r="J259" s="78"/>
      <c r="K259" s="78"/>
      <c r="L259" s="78"/>
      <c r="M259" s="78"/>
      <c r="N259" s="78"/>
      <c r="O259" s="78"/>
      <c r="P259" s="78"/>
      <c r="Q259" s="78"/>
      <c r="R259" s="78"/>
      <c r="S259" s="78"/>
      <c r="T259" s="78"/>
      <c r="U259" s="78"/>
      <c r="V259" s="78"/>
      <c r="W259" s="78"/>
      <c r="X259" s="78"/>
      <c r="Y259" s="78"/>
      <c r="Z259" s="78"/>
      <c r="AA259" s="78"/>
      <c r="AB259" s="78"/>
    </row>
    <row r="260" spans="1:28" s="79" customFormat="1" ht="12.6" customHeight="1" x14ac:dyDescent="0.3">
      <c r="A260" s="102"/>
      <c r="B260" s="78"/>
      <c r="C260" s="78"/>
      <c r="D260" s="78"/>
      <c r="E260" s="78"/>
      <c r="F260" s="78"/>
      <c r="H260" s="78"/>
      <c r="I260" s="78"/>
      <c r="J260" s="78"/>
      <c r="K260" s="78"/>
      <c r="L260" s="78"/>
      <c r="M260" s="78"/>
      <c r="N260" s="78"/>
      <c r="O260" s="78"/>
      <c r="P260" s="78"/>
      <c r="Q260" s="78"/>
      <c r="R260" s="78"/>
      <c r="S260" s="78"/>
      <c r="T260" s="78"/>
      <c r="U260" s="78"/>
      <c r="V260" s="78"/>
      <c r="W260" s="78"/>
      <c r="X260" s="78"/>
      <c r="Y260" s="78"/>
      <c r="Z260" s="78"/>
      <c r="AA260" s="78"/>
      <c r="AB260" s="78"/>
    </row>
    <row r="261" spans="1:28" s="79" customFormat="1" ht="12.6" customHeight="1" x14ac:dyDescent="0.3">
      <c r="A261" s="102"/>
      <c r="B261" s="78"/>
      <c r="C261" s="78"/>
      <c r="D261" s="78"/>
      <c r="E261" s="78"/>
      <c r="F261" s="78"/>
      <c r="H261" s="78"/>
      <c r="I261" s="78"/>
      <c r="J261" s="78"/>
      <c r="K261" s="78"/>
      <c r="L261" s="78"/>
      <c r="M261" s="78"/>
      <c r="N261" s="78"/>
      <c r="O261" s="78"/>
      <c r="P261" s="78"/>
      <c r="Q261" s="78"/>
      <c r="R261" s="78"/>
      <c r="S261" s="78"/>
      <c r="T261" s="78"/>
      <c r="U261" s="78"/>
      <c r="V261" s="78"/>
      <c r="W261" s="78"/>
      <c r="X261" s="78"/>
      <c r="Y261" s="78"/>
      <c r="Z261" s="78"/>
      <c r="AA261" s="78"/>
      <c r="AB261" s="78"/>
    </row>
    <row r="262" spans="1:28" s="79" customFormat="1" ht="12.6" customHeight="1" x14ac:dyDescent="0.3">
      <c r="A262" s="102"/>
      <c r="B262" s="78"/>
      <c r="C262" s="78"/>
      <c r="D262" s="78"/>
      <c r="E262" s="78"/>
      <c r="F262" s="78"/>
      <c r="H262" s="78"/>
      <c r="I262" s="78"/>
      <c r="J262" s="78"/>
      <c r="K262" s="78"/>
      <c r="L262" s="78"/>
      <c r="M262" s="78"/>
      <c r="N262" s="78"/>
      <c r="O262" s="78"/>
      <c r="P262" s="78"/>
      <c r="Q262" s="78"/>
      <c r="R262" s="78"/>
      <c r="S262" s="78"/>
      <c r="T262" s="78"/>
      <c r="U262" s="78"/>
      <c r="V262" s="78"/>
      <c r="W262" s="78"/>
      <c r="X262" s="78"/>
      <c r="Y262" s="78"/>
      <c r="Z262" s="78"/>
      <c r="AA262" s="78"/>
      <c r="AB262" s="78"/>
    </row>
    <row r="263" spans="1:28" s="79" customFormat="1" ht="12.6" customHeight="1" x14ac:dyDescent="0.3">
      <c r="A263" s="102"/>
      <c r="B263" s="78"/>
      <c r="C263" s="78"/>
      <c r="D263" s="78"/>
      <c r="E263" s="78"/>
      <c r="F263" s="78"/>
      <c r="H263" s="78"/>
      <c r="I263" s="78"/>
      <c r="J263" s="78"/>
      <c r="K263" s="78"/>
      <c r="L263" s="78"/>
      <c r="M263" s="78"/>
      <c r="N263" s="78"/>
      <c r="O263" s="78"/>
      <c r="P263" s="78"/>
      <c r="Q263" s="78"/>
      <c r="R263" s="78"/>
      <c r="S263" s="78"/>
      <c r="T263" s="78"/>
      <c r="U263" s="78"/>
      <c r="V263" s="78"/>
      <c r="W263" s="78"/>
      <c r="X263" s="78"/>
      <c r="Y263" s="78"/>
      <c r="Z263" s="78"/>
      <c r="AA263" s="78"/>
      <c r="AB263" s="78"/>
    </row>
    <row r="264" spans="1:28" s="79" customFormat="1" ht="12.6" customHeight="1" x14ac:dyDescent="0.3">
      <c r="A264" s="102"/>
      <c r="B264" s="78"/>
      <c r="C264" s="78"/>
      <c r="D264" s="78"/>
      <c r="E264" s="78"/>
      <c r="F264" s="78"/>
      <c r="H264" s="78"/>
      <c r="I264" s="78"/>
      <c r="J264" s="78"/>
      <c r="K264" s="78"/>
      <c r="L264" s="78"/>
      <c r="M264" s="78"/>
      <c r="N264" s="78"/>
      <c r="O264" s="78"/>
      <c r="P264" s="78"/>
      <c r="Q264" s="78"/>
      <c r="R264" s="78"/>
      <c r="S264" s="78"/>
      <c r="T264" s="78"/>
      <c r="U264" s="78"/>
      <c r="V264" s="78"/>
      <c r="W264" s="78"/>
      <c r="X264" s="78"/>
      <c r="Y264" s="78"/>
      <c r="Z264" s="78"/>
      <c r="AA264" s="78"/>
      <c r="AB264" s="78"/>
    </row>
    <row r="265" spans="1:28" s="79" customFormat="1" ht="12.6" customHeight="1" x14ac:dyDescent="0.3">
      <c r="A265" s="102"/>
      <c r="B265" s="78"/>
      <c r="C265" s="78"/>
      <c r="D265" s="78"/>
      <c r="E265" s="78"/>
      <c r="F265" s="78"/>
      <c r="H265" s="78"/>
      <c r="I265" s="78"/>
      <c r="J265" s="78"/>
      <c r="K265" s="78"/>
      <c r="L265" s="78"/>
      <c r="M265" s="78"/>
      <c r="N265" s="78"/>
      <c r="O265" s="78"/>
      <c r="P265" s="78"/>
      <c r="Q265" s="78"/>
      <c r="R265" s="78"/>
      <c r="S265" s="78"/>
      <c r="T265" s="78"/>
      <c r="U265" s="78"/>
      <c r="V265" s="78"/>
      <c r="W265" s="78"/>
      <c r="X265" s="78"/>
      <c r="Y265" s="78"/>
      <c r="Z265" s="78"/>
      <c r="AA265" s="78"/>
      <c r="AB265" s="78"/>
    </row>
    <row r="266" spans="1:28" s="79" customFormat="1" ht="12.6" customHeight="1" x14ac:dyDescent="0.3">
      <c r="A266" s="102"/>
      <c r="B266" s="78"/>
      <c r="C266" s="78"/>
      <c r="D266" s="78"/>
      <c r="E266" s="78"/>
      <c r="F266" s="78"/>
      <c r="H266" s="78"/>
      <c r="I266" s="78"/>
      <c r="J266" s="78"/>
      <c r="K266" s="78"/>
      <c r="L266" s="78"/>
      <c r="M266" s="78"/>
      <c r="N266" s="78"/>
      <c r="O266" s="78"/>
      <c r="P266" s="78"/>
      <c r="Q266" s="78"/>
      <c r="R266" s="78"/>
      <c r="S266" s="78"/>
      <c r="T266" s="78"/>
      <c r="U266" s="78"/>
      <c r="V266" s="78"/>
      <c r="W266" s="78"/>
      <c r="X266" s="78"/>
      <c r="Y266" s="78"/>
      <c r="Z266" s="78"/>
      <c r="AA266" s="78"/>
      <c r="AB266" s="78"/>
    </row>
    <row r="267" spans="1:28" s="79" customFormat="1" ht="12.6" customHeight="1" x14ac:dyDescent="0.3">
      <c r="A267" s="102"/>
      <c r="B267" s="78"/>
      <c r="C267" s="78"/>
      <c r="D267" s="78"/>
      <c r="E267" s="78"/>
      <c r="F267" s="78"/>
      <c r="H267" s="78"/>
      <c r="I267" s="78"/>
      <c r="J267" s="78"/>
      <c r="K267" s="78"/>
      <c r="L267" s="78"/>
      <c r="M267" s="78"/>
      <c r="N267" s="78"/>
      <c r="O267" s="78"/>
      <c r="P267" s="78"/>
      <c r="Q267" s="78"/>
      <c r="R267" s="78"/>
      <c r="S267" s="78"/>
      <c r="T267" s="78"/>
      <c r="U267" s="78"/>
      <c r="V267" s="78"/>
      <c r="W267" s="78"/>
      <c r="X267" s="78"/>
      <c r="Y267" s="78"/>
      <c r="Z267" s="78"/>
      <c r="AA267" s="78"/>
      <c r="AB267" s="78"/>
    </row>
    <row r="268" spans="1:28" s="79" customFormat="1" ht="12.6" customHeight="1" x14ac:dyDescent="0.3">
      <c r="A268" s="102"/>
      <c r="B268" s="78"/>
      <c r="C268" s="78"/>
      <c r="D268" s="78"/>
      <c r="E268" s="78"/>
      <c r="F268" s="78"/>
      <c r="H268" s="78"/>
      <c r="I268" s="78"/>
      <c r="J268" s="78"/>
      <c r="K268" s="78"/>
      <c r="L268" s="78"/>
      <c r="M268" s="78"/>
      <c r="N268" s="78"/>
      <c r="O268" s="78"/>
      <c r="P268" s="78"/>
      <c r="Q268" s="78"/>
      <c r="R268" s="78"/>
      <c r="S268" s="78"/>
      <c r="T268" s="78"/>
      <c r="U268" s="78"/>
      <c r="V268" s="78"/>
      <c r="W268" s="78"/>
      <c r="X268" s="78"/>
      <c r="Y268" s="78"/>
      <c r="Z268" s="78"/>
      <c r="AA268" s="78"/>
      <c r="AB268" s="78"/>
    </row>
    <row r="269" spans="1:28" s="79" customFormat="1" ht="12.6" customHeight="1" x14ac:dyDescent="0.3">
      <c r="A269" s="102"/>
      <c r="B269" s="78"/>
      <c r="C269" s="78"/>
      <c r="D269" s="78"/>
      <c r="E269" s="78"/>
      <c r="F269" s="78"/>
      <c r="H269" s="78"/>
      <c r="I269" s="78"/>
      <c r="J269" s="78"/>
      <c r="K269" s="78"/>
      <c r="L269" s="78"/>
      <c r="M269" s="78"/>
      <c r="N269" s="78"/>
      <c r="O269" s="78"/>
      <c r="P269" s="78"/>
      <c r="Q269" s="78"/>
      <c r="R269" s="78"/>
      <c r="S269" s="78"/>
      <c r="T269" s="78"/>
      <c r="U269" s="78"/>
      <c r="V269" s="78"/>
      <c r="W269" s="78"/>
      <c r="X269" s="78"/>
      <c r="Y269" s="78"/>
      <c r="Z269" s="78"/>
      <c r="AA269" s="78"/>
      <c r="AB269" s="78"/>
    </row>
    <row r="270" spans="1:28" s="79" customFormat="1" ht="12.6" customHeight="1" x14ac:dyDescent="0.3">
      <c r="A270" s="102"/>
      <c r="B270" s="78"/>
      <c r="C270" s="78"/>
      <c r="D270" s="78"/>
      <c r="E270" s="78"/>
      <c r="F270" s="78"/>
      <c r="H270" s="78"/>
      <c r="I270" s="78"/>
      <c r="J270" s="78"/>
      <c r="K270" s="78"/>
      <c r="L270" s="78"/>
      <c r="M270" s="78"/>
      <c r="N270" s="78"/>
      <c r="O270" s="78"/>
      <c r="P270" s="78"/>
      <c r="Q270" s="78"/>
      <c r="R270" s="78"/>
      <c r="S270" s="78"/>
      <c r="T270" s="78"/>
      <c r="U270" s="78"/>
      <c r="V270" s="78"/>
      <c r="W270" s="78"/>
      <c r="X270" s="78"/>
      <c r="Y270" s="78"/>
      <c r="Z270" s="78"/>
      <c r="AA270" s="78"/>
      <c r="AB270" s="78"/>
    </row>
    <row r="271" spans="1:28" s="79" customFormat="1" ht="12.6" customHeight="1" x14ac:dyDescent="0.3">
      <c r="A271" s="102"/>
      <c r="B271" s="78"/>
      <c r="C271" s="78"/>
      <c r="D271" s="78"/>
      <c r="E271" s="78"/>
      <c r="F271" s="78"/>
      <c r="H271" s="78"/>
      <c r="I271" s="78"/>
      <c r="J271" s="78"/>
      <c r="K271" s="78"/>
      <c r="L271" s="78"/>
      <c r="M271" s="78"/>
      <c r="N271" s="78"/>
      <c r="O271" s="78"/>
      <c r="P271" s="78"/>
      <c r="Q271" s="78"/>
      <c r="R271" s="78"/>
      <c r="S271" s="78"/>
      <c r="T271" s="78"/>
      <c r="U271" s="78"/>
      <c r="V271" s="78"/>
      <c r="W271" s="78"/>
      <c r="X271" s="78"/>
      <c r="Y271" s="78"/>
      <c r="Z271" s="78"/>
      <c r="AA271" s="78"/>
      <c r="AB271" s="78"/>
    </row>
    <row r="272" spans="1:28" s="79" customFormat="1" ht="12.6" customHeight="1" x14ac:dyDescent="0.3">
      <c r="A272" s="102"/>
      <c r="B272" s="78"/>
      <c r="C272" s="78"/>
      <c r="D272" s="78"/>
      <c r="E272" s="78"/>
      <c r="F272" s="78"/>
      <c r="H272" s="78"/>
      <c r="I272" s="78"/>
      <c r="J272" s="78"/>
      <c r="K272" s="78"/>
      <c r="L272" s="78"/>
      <c r="M272" s="78"/>
      <c r="N272" s="78"/>
      <c r="O272" s="78"/>
      <c r="P272" s="78"/>
      <c r="Q272" s="78"/>
      <c r="R272" s="78"/>
      <c r="S272" s="78"/>
      <c r="T272" s="78"/>
      <c r="U272" s="78"/>
      <c r="V272" s="78"/>
      <c r="W272" s="78"/>
      <c r="X272" s="78"/>
      <c r="Y272" s="78"/>
      <c r="Z272" s="78"/>
      <c r="AA272" s="78"/>
      <c r="AB272" s="78"/>
    </row>
    <row r="273" spans="1:28" s="79" customFormat="1" ht="12.6" customHeight="1" x14ac:dyDescent="0.3">
      <c r="A273" s="102"/>
      <c r="B273" s="78"/>
      <c r="C273" s="78"/>
      <c r="D273" s="78"/>
      <c r="E273" s="78"/>
      <c r="F273" s="78"/>
      <c r="H273" s="78"/>
      <c r="I273" s="78"/>
      <c r="J273" s="78"/>
      <c r="K273" s="78"/>
      <c r="L273" s="78"/>
      <c r="M273" s="78"/>
      <c r="N273" s="78"/>
      <c r="O273" s="78"/>
      <c r="P273" s="78"/>
      <c r="Q273" s="78"/>
      <c r="R273" s="78"/>
      <c r="S273" s="78"/>
      <c r="T273" s="78"/>
      <c r="U273" s="78"/>
      <c r="V273" s="78"/>
      <c r="W273" s="78"/>
      <c r="X273" s="78"/>
      <c r="Y273" s="78"/>
      <c r="Z273" s="78"/>
      <c r="AA273" s="78"/>
      <c r="AB273" s="78"/>
    </row>
    <row r="274" spans="1:28" s="79" customFormat="1" ht="12.6" customHeight="1" x14ac:dyDescent="0.3">
      <c r="A274" s="102"/>
      <c r="B274" s="78"/>
      <c r="C274" s="78"/>
      <c r="D274" s="78"/>
      <c r="E274" s="78"/>
      <c r="F274" s="78"/>
      <c r="H274" s="78"/>
      <c r="I274" s="78"/>
      <c r="J274" s="78"/>
      <c r="K274" s="78"/>
      <c r="L274" s="78"/>
      <c r="M274" s="78"/>
      <c r="N274" s="78"/>
      <c r="O274" s="78"/>
      <c r="P274" s="78"/>
      <c r="Q274" s="78"/>
      <c r="R274" s="78"/>
      <c r="S274" s="78"/>
      <c r="T274" s="78"/>
      <c r="U274" s="78"/>
      <c r="V274" s="78"/>
      <c r="W274" s="78"/>
      <c r="X274" s="78"/>
      <c r="Y274" s="78"/>
      <c r="Z274" s="78"/>
      <c r="AA274" s="78"/>
      <c r="AB274" s="78"/>
    </row>
    <row r="275" spans="1:28" s="79" customFormat="1" ht="12.6" customHeight="1" x14ac:dyDescent="0.3">
      <c r="A275" s="102"/>
      <c r="B275" s="78"/>
      <c r="C275" s="78"/>
      <c r="D275" s="78"/>
      <c r="E275" s="78"/>
      <c r="F275" s="78"/>
      <c r="H275" s="78"/>
      <c r="I275" s="78"/>
      <c r="J275" s="78"/>
      <c r="K275" s="78"/>
      <c r="L275" s="78"/>
      <c r="M275" s="78"/>
      <c r="N275" s="78"/>
      <c r="O275" s="78"/>
      <c r="P275" s="78"/>
      <c r="Q275" s="78"/>
      <c r="R275" s="78"/>
      <c r="S275" s="78"/>
      <c r="T275" s="78"/>
      <c r="U275" s="78"/>
      <c r="V275" s="78"/>
      <c r="W275" s="78"/>
      <c r="X275" s="78"/>
      <c r="Y275" s="78"/>
      <c r="Z275" s="78"/>
      <c r="AA275" s="78"/>
      <c r="AB275" s="78"/>
    </row>
    <row r="276" spans="1:28" s="79" customFormat="1" ht="12.6" customHeight="1" x14ac:dyDescent="0.3">
      <c r="A276" s="102"/>
      <c r="B276" s="78"/>
      <c r="C276" s="78"/>
      <c r="D276" s="78"/>
      <c r="E276" s="78"/>
      <c r="F276" s="78"/>
      <c r="H276" s="78"/>
      <c r="I276" s="78"/>
      <c r="J276" s="78"/>
      <c r="K276" s="78"/>
      <c r="L276" s="78"/>
      <c r="M276" s="78"/>
      <c r="N276" s="78"/>
      <c r="O276" s="78"/>
      <c r="P276" s="78"/>
      <c r="Q276" s="78"/>
      <c r="R276" s="78"/>
      <c r="S276" s="78"/>
      <c r="T276" s="78"/>
      <c r="U276" s="78"/>
      <c r="V276" s="78"/>
      <c r="W276" s="78"/>
      <c r="X276" s="78"/>
      <c r="Y276" s="78"/>
      <c r="Z276" s="78"/>
      <c r="AA276" s="78"/>
      <c r="AB276" s="78"/>
    </row>
    <row r="277" spans="1:28" s="79" customFormat="1" ht="12.6" customHeight="1" x14ac:dyDescent="0.3">
      <c r="A277" s="102"/>
      <c r="B277" s="78"/>
      <c r="C277" s="78"/>
      <c r="D277" s="78"/>
      <c r="E277" s="78"/>
      <c r="F277" s="78"/>
      <c r="H277" s="78"/>
      <c r="I277" s="78"/>
      <c r="J277" s="78"/>
      <c r="K277" s="78"/>
      <c r="L277" s="78"/>
      <c r="M277" s="78"/>
      <c r="N277" s="78"/>
      <c r="O277" s="78"/>
      <c r="P277" s="78"/>
      <c r="Q277" s="78"/>
      <c r="R277" s="78"/>
      <c r="S277" s="78"/>
      <c r="T277" s="78"/>
      <c r="U277" s="78"/>
      <c r="V277" s="78"/>
      <c r="W277" s="78"/>
      <c r="X277" s="78"/>
      <c r="Y277" s="78"/>
      <c r="Z277" s="78"/>
      <c r="AA277" s="78"/>
      <c r="AB277" s="78"/>
    </row>
    <row r="278" spans="1:28" s="79" customFormat="1" ht="12.6" customHeight="1" x14ac:dyDescent="0.3">
      <c r="A278" s="102"/>
      <c r="B278" s="78"/>
      <c r="C278" s="78"/>
      <c r="D278" s="78"/>
      <c r="E278" s="78"/>
      <c r="F278" s="78"/>
      <c r="H278" s="78"/>
      <c r="I278" s="78"/>
      <c r="J278" s="78"/>
      <c r="K278" s="78"/>
      <c r="L278" s="78"/>
      <c r="M278" s="78"/>
      <c r="N278" s="78"/>
      <c r="O278" s="78"/>
      <c r="P278" s="78"/>
      <c r="Q278" s="78"/>
      <c r="R278" s="78"/>
      <c r="S278" s="78"/>
      <c r="T278" s="78"/>
      <c r="U278" s="78"/>
      <c r="V278" s="78"/>
      <c r="W278" s="78"/>
      <c r="X278" s="78"/>
      <c r="Y278" s="78"/>
      <c r="Z278" s="78"/>
      <c r="AA278" s="78"/>
      <c r="AB278" s="78"/>
    </row>
    <row r="279" spans="1:28" s="79" customFormat="1" ht="12.6" customHeight="1" x14ac:dyDescent="0.3">
      <c r="A279" s="102"/>
      <c r="B279" s="78"/>
      <c r="C279" s="78"/>
      <c r="D279" s="78"/>
      <c r="E279" s="78"/>
      <c r="F279" s="78"/>
      <c r="H279" s="78"/>
      <c r="I279" s="78"/>
      <c r="J279" s="78"/>
      <c r="K279" s="78"/>
      <c r="L279" s="78"/>
      <c r="M279" s="78"/>
      <c r="N279" s="78"/>
      <c r="O279" s="78"/>
      <c r="P279" s="78"/>
      <c r="Q279" s="78"/>
      <c r="R279" s="78"/>
      <c r="S279" s="78"/>
      <c r="T279" s="78"/>
      <c r="U279" s="78"/>
      <c r="V279" s="78"/>
      <c r="W279" s="78"/>
      <c r="X279" s="78"/>
      <c r="Y279" s="78"/>
      <c r="Z279" s="78"/>
      <c r="AA279" s="78"/>
      <c r="AB279" s="78"/>
    </row>
    <row r="280" spans="1:28" s="79" customFormat="1" ht="12.6" customHeight="1" x14ac:dyDescent="0.3">
      <c r="A280" s="102"/>
      <c r="B280" s="78"/>
      <c r="C280" s="78"/>
      <c r="D280" s="78"/>
      <c r="E280" s="78"/>
      <c r="F280" s="78"/>
      <c r="H280" s="78"/>
      <c r="I280" s="78"/>
      <c r="J280" s="78"/>
      <c r="K280" s="78"/>
      <c r="L280" s="78"/>
      <c r="M280" s="78"/>
      <c r="N280" s="78"/>
      <c r="O280" s="78"/>
      <c r="P280" s="78"/>
      <c r="Q280" s="78"/>
      <c r="R280" s="78"/>
      <c r="S280" s="78"/>
      <c r="T280" s="78"/>
      <c r="U280" s="78"/>
      <c r="V280" s="78"/>
      <c r="W280" s="78"/>
      <c r="X280" s="78"/>
      <c r="Y280" s="78"/>
      <c r="Z280" s="78"/>
      <c r="AA280" s="78"/>
      <c r="AB280" s="78"/>
    </row>
    <row r="281" spans="1:28" s="79" customFormat="1" ht="12.6" customHeight="1" x14ac:dyDescent="0.3">
      <c r="A281" s="102"/>
      <c r="B281" s="78"/>
      <c r="C281" s="78"/>
      <c r="D281" s="78"/>
      <c r="E281" s="78"/>
      <c r="F281" s="78"/>
      <c r="H281" s="78"/>
      <c r="I281" s="78"/>
      <c r="J281" s="78"/>
      <c r="K281" s="78"/>
      <c r="L281" s="78"/>
      <c r="M281" s="78"/>
      <c r="N281" s="78"/>
      <c r="O281" s="78"/>
      <c r="P281" s="78"/>
      <c r="Q281" s="78"/>
      <c r="R281" s="78"/>
      <c r="S281" s="78"/>
      <c r="T281" s="78"/>
      <c r="U281" s="78"/>
      <c r="V281" s="78"/>
      <c r="W281" s="78"/>
      <c r="X281" s="78"/>
      <c r="Y281" s="78"/>
      <c r="Z281" s="78"/>
      <c r="AA281" s="78"/>
      <c r="AB281" s="78"/>
    </row>
    <row r="282" spans="1:28" s="79" customFormat="1" ht="12.6" customHeight="1" x14ac:dyDescent="0.3">
      <c r="A282" s="102"/>
      <c r="B282" s="78"/>
      <c r="C282" s="78"/>
      <c r="D282" s="78"/>
      <c r="E282" s="78"/>
      <c r="F282" s="78"/>
      <c r="H282" s="78"/>
      <c r="I282" s="78"/>
      <c r="J282" s="78"/>
      <c r="K282" s="78"/>
      <c r="L282" s="78"/>
      <c r="M282" s="78"/>
      <c r="N282" s="78"/>
      <c r="O282" s="78"/>
      <c r="P282" s="78"/>
      <c r="Q282" s="78"/>
      <c r="R282" s="78"/>
      <c r="S282" s="78"/>
      <c r="T282" s="78"/>
      <c r="U282" s="78"/>
      <c r="V282" s="78"/>
      <c r="W282" s="78"/>
      <c r="X282" s="78"/>
      <c r="Y282" s="78"/>
      <c r="Z282" s="78"/>
      <c r="AA282" s="78"/>
      <c r="AB282" s="78"/>
    </row>
    <row r="283" spans="1:28" s="79" customFormat="1" ht="12.6" customHeight="1" x14ac:dyDescent="0.3">
      <c r="A283" s="102"/>
      <c r="B283" s="78"/>
      <c r="C283" s="78"/>
      <c r="D283" s="78"/>
      <c r="E283" s="78"/>
      <c r="F283" s="78"/>
      <c r="H283" s="78"/>
      <c r="I283" s="78"/>
      <c r="J283" s="78"/>
      <c r="K283" s="78"/>
      <c r="L283" s="78"/>
      <c r="M283" s="78"/>
      <c r="N283" s="78"/>
      <c r="O283" s="78"/>
      <c r="P283" s="78"/>
      <c r="Q283" s="78"/>
      <c r="R283" s="78"/>
      <c r="S283" s="78"/>
      <c r="T283" s="78"/>
      <c r="U283" s="78"/>
      <c r="V283" s="78"/>
      <c r="W283" s="78"/>
      <c r="X283" s="78"/>
      <c r="Y283" s="78"/>
      <c r="Z283" s="78"/>
      <c r="AA283" s="78"/>
      <c r="AB283" s="78"/>
    </row>
    <row r="284" spans="1:28" s="79" customFormat="1" ht="12.6" customHeight="1" x14ac:dyDescent="0.3">
      <c r="A284" s="102"/>
      <c r="B284" s="78"/>
      <c r="C284" s="78"/>
      <c r="D284" s="78"/>
      <c r="E284" s="78"/>
      <c r="F284" s="78"/>
      <c r="H284" s="78"/>
      <c r="I284" s="78"/>
      <c r="J284" s="78"/>
      <c r="K284" s="78"/>
      <c r="L284" s="78"/>
      <c r="M284" s="78"/>
      <c r="N284" s="78"/>
      <c r="O284" s="78"/>
      <c r="P284" s="78"/>
      <c r="Q284" s="78"/>
      <c r="R284" s="78"/>
      <c r="S284" s="78"/>
      <c r="T284" s="78"/>
      <c r="U284" s="78"/>
      <c r="V284" s="78"/>
      <c r="W284" s="78"/>
      <c r="X284" s="78"/>
      <c r="Y284" s="78"/>
      <c r="Z284" s="78"/>
      <c r="AA284" s="78"/>
      <c r="AB284" s="78"/>
    </row>
    <row r="285" spans="1:28" s="79" customFormat="1" ht="12.6" customHeight="1" x14ac:dyDescent="0.3">
      <c r="A285" s="102"/>
      <c r="B285" s="78"/>
      <c r="C285" s="78"/>
      <c r="D285" s="78"/>
      <c r="E285" s="78"/>
      <c r="F285" s="78"/>
      <c r="H285" s="78"/>
      <c r="I285" s="78"/>
      <c r="J285" s="78"/>
      <c r="K285" s="78"/>
      <c r="L285" s="78"/>
      <c r="M285" s="78"/>
      <c r="N285" s="78"/>
      <c r="O285" s="78"/>
      <c r="P285" s="78"/>
      <c r="Q285" s="78"/>
      <c r="R285" s="78"/>
      <c r="S285" s="78"/>
      <c r="T285" s="78"/>
      <c r="U285" s="78"/>
      <c r="V285" s="78"/>
      <c r="W285" s="78"/>
      <c r="X285" s="78"/>
      <c r="Y285" s="78"/>
      <c r="Z285" s="78"/>
      <c r="AA285" s="78"/>
      <c r="AB285" s="78"/>
    </row>
    <row r="286" spans="1:28" s="79" customFormat="1" ht="12.6" customHeight="1" x14ac:dyDescent="0.3">
      <c r="A286" s="102"/>
      <c r="B286" s="78"/>
      <c r="C286" s="78"/>
      <c r="D286" s="78"/>
      <c r="E286" s="78"/>
      <c r="F286" s="78"/>
      <c r="H286" s="78"/>
      <c r="I286" s="78"/>
      <c r="J286" s="78"/>
      <c r="K286" s="78"/>
      <c r="L286" s="78"/>
      <c r="M286" s="78"/>
      <c r="N286" s="78"/>
      <c r="O286" s="78"/>
      <c r="P286" s="78"/>
      <c r="Q286" s="78"/>
      <c r="R286" s="78"/>
      <c r="S286" s="78"/>
      <c r="T286" s="78"/>
      <c r="U286" s="78"/>
      <c r="V286" s="78"/>
      <c r="W286" s="78"/>
      <c r="X286" s="78"/>
      <c r="Y286" s="78"/>
      <c r="Z286" s="78"/>
      <c r="AA286" s="78"/>
      <c r="AB286" s="78"/>
    </row>
    <row r="287" spans="1:28" s="79" customFormat="1" ht="12.6" customHeight="1" x14ac:dyDescent="0.3">
      <c r="A287" s="102"/>
      <c r="B287" s="78"/>
      <c r="C287" s="78"/>
      <c r="D287" s="78"/>
      <c r="E287" s="78"/>
      <c r="F287" s="78"/>
      <c r="H287" s="78"/>
      <c r="I287" s="78"/>
      <c r="J287" s="78"/>
      <c r="K287" s="78"/>
      <c r="L287" s="78"/>
      <c r="M287" s="78"/>
      <c r="N287" s="78"/>
      <c r="O287" s="78"/>
      <c r="P287" s="78"/>
      <c r="Q287" s="78"/>
      <c r="R287" s="78"/>
      <c r="S287" s="78"/>
      <c r="T287" s="78"/>
      <c r="U287" s="78"/>
      <c r="V287" s="78"/>
      <c r="W287" s="78"/>
      <c r="X287" s="78"/>
      <c r="Y287" s="78"/>
      <c r="Z287" s="78"/>
      <c r="AA287" s="78"/>
      <c r="AB287" s="78"/>
    </row>
    <row r="288" spans="1:28" s="79" customFormat="1" ht="12.6" customHeight="1" x14ac:dyDescent="0.3">
      <c r="A288" s="102"/>
      <c r="B288" s="78"/>
      <c r="C288" s="78"/>
      <c r="D288" s="78"/>
      <c r="E288" s="78"/>
      <c r="F288" s="78"/>
      <c r="H288" s="78"/>
      <c r="I288" s="78"/>
      <c r="J288" s="78"/>
      <c r="K288" s="78"/>
      <c r="L288" s="78"/>
      <c r="M288" s="78"/>
      <c r="N288" s="78"/>
      <c r="O288" s="78"/>
      <c r="P288" s="78"/>
      <c r="Q288" s="78"/>
      <c r="R288" s="78"/>
      <c r="S288" s="78"/>
      <c r="T288" s="78"/>
      <c r="U288" s="78"/>
      <c r="V288" s="78"/>
      <c r="W288" s="78"/>
      <c r="X288" s="78"/>
      <c r="Y288" s="78"/>
      <c r="Z288" s="78"/>
      <c r="AA288" s="78"/>
      <c r="AB288" s="78"/>
    </row>
    <row r="289" spans="1:28" s="79" customFormat="1" ht="12.6" customHeight="1" x14ac:dyDescent="0.3">
      <c r="A289" s="102"/>
      <c r="B289" s="78"/>
      <c r="C289" s="78"/>
      <c r="D289" s="78"/>
      <c r="E289" s="78"/>
      <c r="F289" s="78"/>
      <c r="H289" s="78"/>
      <c r="I289" s="78"/>
      <c r="J289" s="78"/>
      <c r="K289" s="78"/>
      <c r="L289" s="78"/>
      <c r="M289" s="78"/>
      <c r="N289" s="78"/>
      <c r="O289" s="78"/>
      <c r="P289" s="78"/>
      <c r="Q289" s="78"/>
      <c r="R289" s="78"/>
      <c r="S289" s="78"/>
      <c r="T289" s="78"/>
      <c r="U289" s="78"/>
      <c r="V289" s="78"/>
      <c r="W289" s="78"/>
      <c r="X289" s="78"/>
      <c r="Y289" s="78"/>
      <c r="Z289" s="78"/>
      <c r="AA289" s="78"/>
      <c r="AB289" s="78"/>
    </row>
    <row r="290" spans="1:28" s="79" customFormat="1" ht="12.6" customHeight="1" x14ac:dyDescent="0.3">
      <c r="A290" s="102"/>
      <c r="B290" s="78"/>
      <c r="C290" s="78"/>
      <c r="D290" s="78"/>
      <c r="E290" s="78"/>
      <c r="F290" s="78"/>
      <c r="H290" s="78"/>
      <c r="I290" s="78"/>
      <c r="J290" s="78"/>
      <c r="K290" s="78"/>
      <c r="L290" s="78"/>
      <c r="M290" s="78"/>
      <c r="N290" s="78"/>
      <c r="O290" s="78"/>
      <c r="P290" s="78"/>
      <c r="Q290" s="78"/>
      <c r="R290" s="78"/>
      <c r="S290" s="78"/>
      <c r="T290" s="78"/>
      <c r="U290" s="78"/>
      <c r="V290" s="78"/>
      <c r="W290" s="78"/>
      <c r="X290" s="78"/>
      <c r="Y290" s="78"/>
      <c r="Z290" s="78"/>
      <c r="AA290" s="78"/>
      <c r="AB290" s="78"/>
    </row>
    <row r="291" spans="1:28" s="79" customFormat="1" ht="12.6" customHeight="1" x14ac:dyDescent="0.3">
      <c r="A291" s="102"/>
      <c r="B291" s="78"/>
      <c r="C291" s="78"/>
      <c r="D291" s="78"/>
      <c r="E291" s="78"/>
      <c r="F291" s="78"/>
      <c r="H291" s="78"/>
      <c r="I291" s="78"/>
      <c r="J291" s="78"/>
      <c r="K291" s="78"/>
      <c r="L291" s="78"/>
      <c r="M291" s="78"/>
      <c r="N291" s="78"/>
      <c r="O291" s="78"/>
      <c r="P291" s="78"/>
      <c r="Q291" s="78"/>
      <c r="R291" s="78"/>
      <c r="S291" s="78"/>
      <c r="T291" s="78"/>
      <c r="U291" s="78"/>
      <c r="V291" s="78"/>
      <c r="W291" s="78"/>
      <c r="X291" s="78"/>
      <c r="Y291" s="78"/>
      <c r="Z291" s="78"/>
      <c r="AA291" s="78"/>
      <c r="AB291" s="78"/>
    </row>
    <row r="292" spans="1:28" s="79" customFormat="1" ht="12.6" customHeight="1" x14ac:dyDescent="0.3">
      <c r="A292" s="102"/>
      <c r="B292" s="78"/>
      <c r="C292" s="78"/>
      <c r="D292" s="78"/>
      <c r="E292" s="78"/>
      <c r="F292" s="78"/>
      <c r="H292" s="78"/>
      <c r="I292" s="78"/>
      <c r="J292" s="78"/>
      <c r="K292" s="78"/>
      <c r="L292" s="78"/>
      <c r="M292" s="78"/>
      <c r="N292" s="78"/>
      <c r="O292" s="78"/>
      <c r="P292" s="78"/>
      <c r="Q292" s="78"/>
      <c r="R292" s="78"/>
      <c r="S292" s="78"/>
      <c r="T292" s="78"/>
      <c r="U292" s="78"/>
      <c r="V292" s="78"/>
      <c r="W292" s="78"/>
      <c r="X292" s="78"/>
      <c r="Y292" s="78"/>
      <c r="Z292" s="78"/>
      <c r="AA292" s="78"/>
      <c r="AB292" s="78"/>
    </row>
    <row r="293" spans="1:28" s="79" customFormat="1" ht="12.6" customHeight="1" x14ac:dyDescent="0.3">
      <c r="A293" s="102"/>
      <c r="B293" s="78"/>
      <c r="C293" s="78"/>
      <c r="D293" s="78"/>
      <c r="E293" s="78"/>
      <c r="F293" s="78"/>
      <c r="H293" s="78"/>
      <c r="I293" s="78"/>
      <c r="J293" s="78"/>
      <c r="K293" s="78"/>
      <c r="L293" s="78"/>
      <c r="M293" s="78"/>
      <c r="N293" s="78"/>
      <c r="O293" s="78"/>
      <c r="P293" s="78"/>
      <c r="Q293" s="78"/>
      <c r="R293" s="78"/>
      <c r="S293" s="78"/>
      <c r="T293" s="78"/>
      <c r="U293" s="78"/>
      <c r="V293" s="78"/>
      <c r="W293" s="78"/>
      <c r="X293" s="78"/>
      <c r="Y293" s="78"/>
      <c r="Z293" s="78"/>
      <c r="AA293" s="78"/>
      <c r="AB293" s="78"/>
    </row>
    <row r="294" spans="1:28" s="79" customFormat="1" ht="12.6" customHeight="1" x14ac:dyDescent="0.3">
      <c r="A294" s="102"/>
      <c r="B294" s="78"/>
      <c r="C294" s="78"/>
      <c r="D294" s="78"/>
      <c r="E294" s="78"/>
      <c r="F294" s="78"/>
      <c r="H294" s="78"/>
      <c r="I294" s="78"/>
      <c r="J294" s="78"/>
      <c r="K294" s="78"/>
      <c r="L294" s="78"/>
      <c r="M294" s="78"/>
      <c r="N294" s="78"/>
      <c r="O294" s="78"/>
      <c r="P294" s="78"/>
      <c r="Q294" s="78"/>
      <c r="R294" s="78"/>
      <c r="S294" s="78"/>
      <c r="T294" s="78"/>
      <c r="U294" s="78"/>
      <c r="V294" s="78"/>
      <c r="W294" s="78"/>
      <c r="X294" s="78"/>
      <c r="Y294" s="78"/>
      <c r="Z294" s="78"/>
      <c r="AA294" s="78"/>
      <c r="AB294" s="78"/>
    </row>
    <row r="295" spans="1:28" s="79" customFormat="1" ht="12.6" customHeight="1" x14ac:dyDescent="0.3">
      <c r="A295" s="102"/>
      <c r="B295" s="78"/>
      <c r="C295" s="78"/>
      <c r="D295" s="78"/>
      <c r="E295" s="78"/>
      <c r="F295" s="78"/>
      <c r="H295" s="78"/>
      <c r="I295" s="78"/>
      <c r="J295" s="78"/>
      <c r="K295" s="78"/>
      <c r="L295" s="78"/>
      <c r="M295" s="78"/>
      <c r="N295" s="78"/>
      <c r="O295" s="78"/>
      <c r="P295" s="78"/>
      <c r="Q295" s="78"/>
      <c r="R295" s="78"/>
      <c r="S295" s="78"/>
      <c r="T295" s="78"/>
      <c r="U295" s="78"/>
      <c r="V295" s="78"/>
      <c r="W295" s="78"/>
      <c r="X295" s="78"/>
      <c r="Y295" s="78"/>
      <c r="Z295" s="78"/>
      <c r="AA295" s="78"/>
      <c r="AB295" s="78"/>
    </row>
    <row r="296" spans="1:28" s="79" customFormat="1" ht="12.6" customHeight="1" x14ac:dyDescent="0.3">
      <c r="A296" s="102"/>
      <c r="B296" s="78"/>
      <c r="C296" s="78"/>
      <c r="D296" s="78"/>
      <c r="E296" s="78"/>
      <c r="F296" s="78"/>
      <c r="H296" s="78"/>
      <c r="I296" s="78"/>
      <c r="J296" s="78"/>
      <c r="K296" s="78"/>
      <c r="L296" s="78"/>
      <c r="M296" s="78"/>
      <c r="N296" s="78"/>
      <c r="O296" s="78"/>
      <c r="P296" s="78"/>
      <c r="Q296" s="78"/>
      <c r="R296" s="78"/>
      <c r="S296" s="78"/>
      <c r="T296" s="78"/>
      <c r="U296" s="78"/>
      <c r="V296" s="78"/>
      <c r="W296" s="78"/>
      <c r="X296" s="78"/>
      <c r="Y296" s="78"/>
      <c r="Z296" s="78"/>
      <c r="AA296" s="78"/>
      <c r="AB296" s="78"/>
    </row>
    <row r="297" spans="1:28" s="79" customFormat="1" ht="12.6" customHeight="1" x14ac:dyDescent="0.3">
      <c r="A297" s="102"/>
      <c r="B297" s="78"/>
      <c r="C297" s="78"/>
      <c r="D297" s="78"/>
      <c r="E297" s="78"/>
      <c r="F297" s="78"/>
      <c r="H297" s="78"/>
      <c r="I297" s="78"/>
      <c r="J297" s="78"/>
      <c r="K297" s="78"/>
      <c r="L297" s="78"/>
      <c r="M297" s="78"/>
      <c r="N297" s="78"/>
      <c r="O297" s="78"/>
      <c r="P297" s="78"/>
      <c r="Q297" s="78"/>
      <c r="R297" s="78"/>
      <c r="S297" s="78"/>
      <c r="T297" s="78"/>
      <c r="U297" s="78"/>
      <c r="V297" s="78"/>
      <c r="W297" s="78"/>
      <c r="X297" s="78"/>
      <c r="Y297" s="78"/>
      <c r="Z297" s="78"/>
      <c r="AA297" s="78"/>
      <c r="AB297" s="78"/>
    </row>
    <row r="298" spans="1:28" s="79" customFormat="1" ht="12.6" customHeight="1" x14ac:dyDescent="0.3">
      <c r="A298" s="102"/>
      <c r="B298" s="78"/>
      <c r="C298" s="78"/>
      <c r="D298" s="78"/>
      <c r="E298" s="78"/>
      <c r="F298" s="78"/>
      <c r="H298" s="78"/>
      <c r="I298" s="78"/>
      <c r="J298" s="78"/>
      <c r="K298" s="78"/>
      <c r="L298" s="78"/>
      <c r="M298" s="78"/>
      <c r="N298" s="78"/>
      <c r="O298" s="78"/>
      <c r="P298" s="78"/>
      <c r="Q298" s="78"/>
      <c r="R298" s="78"/>
      <c r="S298" s="78"/>
      <c r="T298" s="78"/>
      <c r="U298" s="78"/>
      <c r="V298" s="78"/>
      <c r="W298" s="78"/>
      <c r="X298" s="78"/>
      <c r="Y298" s="78"/>
      <c r="Z298" s="78"/>
      <c r="AA298" s="78"/>
      <c r="AB298" s="78"/>
    </row>
    <row r="299" spans="1:28" s="79" customFormat="1" ht="12.6" customHeight="1" x14ac:dyDescent="0.3">
      <c r="A299" s="102"/>
      <c r="B299" s="78"/>
      <c r="C299" s="78"/>
      <c r="D299" s="78"/>
      <c r="E299" s="78"/>
      <c r="F299" s="78"/>
      <c r="H299" s="78"/>
      <c r="I299" s="78"/>
      <c r="J299" s="78"/>
      <c r="K299" s="78"/>
      <c r="L299" s="78"/>
      <c r="M299" s="78"/>
      <c r="N299" s="78"/>
      <c r="O299" s="78"/>
      <c r="P299" s="78"/>
      <c r="Q299" s="78"/>
      <c r="R299" s="78"/>
      <c r="S299" s="78"/>
      <c r="T299" s="78"/>
      <c r="U299" s="78"/>
      <c r="V299" s="78"/>
      <c r="W299" s="78"/>
      <c r="X299" s="78"/>
      <c r="Y299" s="78"/>
      <c r="Z299" s="78"/>
      <c r="AA299" s="78"/>
      <c r="AB299" s="78"/>
    </row>
    <row r="300" spans="1:28" s="79" customFormat="1" ht="12.6" customHeight="1" x14ac:dyDescent="0.3">
      <c r="A300" s="102"/>
      <c r="B300" s="78"/>
      <c r="C300" s="78"/>
      <c r="D300" s="78"/>
      <c r="E300" s="78"/>
      <c r="F300" s="78"/>
      <c r="H300" s="78"/>
      <c r="I300" s="78"/>
      <c r="J300" s="78"/>
      <c r="K300" s="78"/>
      <c r="L300" s="78"/>
      <c r="M300" s="78"/>
      <c r="N300" s="78"/>
      <c r="O300" s="78"/>
      <c r="P300" s="78"/>
      <c r="Q300" s="78"/>
      <c r="R300" s="78"/>
      <c r="S300" s="78"/>
      <c r="T300" s="78"/>
      <c r="U300" s="78"/>
      <c r="V300" s="78"/>
      <c r="W300" s="78"/>
      <c r="X300" s="78"/>
      <c r="Y300" s="78"/>
      <c r="Z300" s="78"/>
      <c r="AA300" s="78"/>
      <c r="AB300" s="78"/>
    </row>
    <row r="301" spans="1:28" s="79" customFormat="1" ht="12.6" customHeight="1" x14ac:dyDescent="0.3">
      <c r="A301" s="102"/>
      <c r="B301" s="78"/>
      <c r="C301" s="78"/>
      <c r="D301" s="78"/>
      <c r="E301" s="78"/>
      <c r="F301" s="78"/>
      <c r="H301" s="78"/>
      <c r="I301" s="78"/>
      <c r="J301" s="78"/>
      <c r="K301" s="78"/>
      <c r="L301" s="78"/>
      <c r="M301" s="78"/>
      <c r="N301" s="78"/>
      <c r="O301" s="78"/>
      <c r="P301" s="78"/>
      <c r="Q301" s="78"/>
      <c r="R301" s="78"/>
      <c r="S301" s="78"/>
      <c r="T301" s="78"/>
      <c r="U301" s="78"/>
      <c r="V301" s="78"/>
      <c r="W301" s="78"/>
      <c r="X301" s="78"/>
      <c r="Y301" s="78"/>
      <c r="Z301" s="78"/>
      <c r="AA301" s="78"/>
      <c r="AB301" s="78"/>
    </row>
    <row r="302" spans="1:28" s="79" customFormat="1" ht="12.6" customHeight="1" x14ac:dyDescent="0.3">
      <c r="A302" s="102"/>
      <c r="B302" s="78"/>
      <c r="C302" s="78"/>
      <c r="D302" s="78"/>
      <c r="E302" s="78"/>
      <c r="F302" s="78"/>
      <c r="H302" s="78"/>
      <c r="I302" s="78"/>
      <c r="J302" s="78"/>
      <c r="K302" s="78"/>
      <c r="L302" s="78"/>
      <c r="M302" s="78"/>
      <c r="N302" s="78"/>
      <c r="O302" s="78"/>
      <c r="P302" s="78"/>
      <c r="Q302" s="78"/>
      <c r="R302" s="78"/>
      <c r="S302" s="78"/>
      <c r="T302" s="78"/>
      <c r="U302" s="78"/>
      <c r="V302" s="78"/>
      <c r="W302" s="78"/>
      <c r="X302" s="78"/>
      <c r="Y302" s="78"/>
      <c r="Z302" s="78"/>
      <c r="AA302" s="78"/>
      <c r="AB302" s="78"/>
    </row>
    <row r="303" spans="1:28" s="79" customFormat="1" ht="12.6" customHeight="1" x14ac:dyDescent="0.3">
      <c r="A303" s="102"/>
      <c r="B303" s="78"/>
      <c r="C303" s="78"/>
      <c r="D303" s="78"/>
      <c r="E303" s="78"/>
      <c r="F303" s="78"/>
      <c r="H303" s="78"/>
      <c r="I303" s="78"/>
      <c r="J303" s="78"/>
      <c r="K303" s="78"/>
      <c r="L303" s="78"/>
      <c r="M303" s="78"/>
      <c r="N303" s="78"/>
      <c r="O303" s="78"/>
      <c r="P303" s="78"/>
      <c r="Q303" s="78"/>
      <c r="R303" s="78"/>
      <c r="S303" s="78"/>
      <c r="T303" s="78"/>
      <c r="U303" s="78"/>
      <c r="V303" s="78"/>
      <c r="W303" s="78"/>
      <c r="X303" s="78"/>
      <c r="Y303" s="78"/>
      <c r="Z303" s="78"/>
      <c r="AA303" s="78"/>
      <c r="AB303" s="78"/>
    </row>
    <row r="304" spans="1:28" s="79" customFormat="1" ht="12.6" customHeight="1" x14ac:dyDescent="0.3">
      <c r="A304" s="102"/>
      <c r="B304" s="78"/>
      <c r="C304" s="78"/>
      <c r="D304" s="78"/>
      <c r="E304" s="78"/>
      <c r="F304" s="78"/>
      <c r="H304" s="78"/>
      <c r="I304" s="78"/>
      <c r="J304" s="78"/>
      <c r="K304" s="78"/>
      <c r="L304" s="78"/>
      <c r="M304" s="78"/>
      <c r="N304" s="78"/>
      <c r="O304" s="78"/>
      <c r="P304" s="78"/>
      <c r="Q304" s="78"/>
      <c r="R304" s="78"/>
      <c r="S304" s="78"/>
      <c r="T304" s="78"/>
      <c r="U304" s="78"/>
      <c r="V304" s="78"/>
      <c r="W304" s="78"/>
      <c r="X304" s="78"/>
      <c r="Y304" s="78"/>
      <c r="Z304" s="78"/>
      <c r="AA304" s="78"/>
      <c r="AB304" s="78"/>
    </row>
    <row r="305" spans="1:28" s="79" customFormat="1" ht="12.6" customHeight="1" x14ac:dyDescent="0.3">
      <c r="A305" s="102"/>
      <c r="B305" s="78"/>
      <c r="C305" s="78"/>
      <c r="D305" s="78"/>
      <c r="E305" s="78"/>
      <c r="F305" s="78"/>
      <c r="H305" s="78"/>
      <c r="I305" s="78"/>
      <c r="J305" s="78"/>
      <c r="K305" s="78"/>
      <c r="L305" s="78"/>
      <c r="M305" s="78"/>
      <c r="N305" s="78"/>
      <c r="O305" s="78"/>
      <c r="P305" s="78"/>
      <c r="Q305" s="78"/>
      <c r="R305" s="78"/>
      <c r="S305" s="78"/>
      <c r="T305" s="78"/>
      <c r="U305" s="78"/>
      <c r="V305" s="78"/>
      <c r="W305" s="78"/>
      <c r="X305" s="78"/>
      <c r="Y305" s="78"/>
      <c r="Z305" s="78"/>
      <c r="AA305" s="78"/>
      <c r="AB305" s="78"/>
    </row>
    <row r="306" spans="1:28" s="79" customFormat="1" ht="12.6" customHeight="1" x14ac:dyDescent="0.3">
      <c r="A306" s="102"/>
      <c r="B306" s="78"/>
      <c r="C306" s="78"/>
      <c r="D306" s="78"/>
      <c r="E306" s="78"/>
      <c r="F306" s="78"/>
      <c r="H306" s="78"/>
      <c r="I306" s="78"/>
      <c r="J306" s="78"/>
      <c r="K306" s="78"/>
      <c r="L306" s="78"/>
      <c r="M306" s="78"/>
      <c r="N306" s="78"/>
      <c r="O306" s="78"/>
      <c r="P306" s="78"/>
      <c r="Q306" s="78"/>
      <c r="R306" s="78"/>
      <c r="S306" s="78"/>
      <c r="T306" s="78"/>
      <c r="U306" s="78"/>
      <c r="V306" s="78"/>
      <c r="W306" s="78"/>
      <c r="X306" s="78"/>
      <c r="Y306" s="78"/>
      <c r="Z306" s="78"/>
      <c r="AA306" s="78"/>
      <c r="AB306" s="78"/>
    </row>
    <row r="307" spans="1:28" s="79" customFormat="1" ht="12.6" customHeight="1" x14ac:dyDescent="0.3">
      <c r="A307" s="102"/>
      <c r="B307" s="78"/>
      <c r="C307" s="78"/>
      <c r="D307" s="78"/>
      <c r="E307" s="78"/>
      <c r="F307" s="78"/>
      <c r="H307" s="78"/>
      <c r="I307" s="78"/>
      <c r="J307" s="78"/>
      <c r="K307" s="78"/>
      <c r="L307" s="78"/>
      <c r="M307" s="78"/>
      <c r="N307" s="78"/>
      <c r="O307" s="78"/>
      <c r="P307" s="78"/>
      <c r="Q307" s="78"/>
      <c r="R307" s="78"/>
      <c r="S307" s="78"/>
      <c r="T307" s="78"/>
      <c r="U307" s="78"/>
      <c r="V307" s="78"/>
      <c r="W307" s="78"/>
      <c r="X307" s="78"/>
      <c r="Y307" s="78"/>
      <c r="Z307" s="78"/>
      <c r="AA307" s="78"/>
      <c r="AB307" s="78"/>
    </row>
    <row r="308" spans="1:28" s="79" customFormat="1" ht="12.6" customHeight="1" x14ac:dyDescent="0.3">
      <c r="A308" s="102"/>
      <c r="B308" s="78"/>
      <c r="C308" s="78"/>
      <c r="D308" s="78"/>
      <c r="E308" s="78"/>
      <c r="F308" s="78"/>
      <c r="H308" s="78"/>
      <c r="I308" s="78"/>
      <c r="J308" s="78"/>
      <c r="K308" s="78"/>
      <c r="L308" s="78"/>
      <c r="M308" s="78"/>
      <c r="N308" s="78"/>
      <c r="O308" s="78"/>
      <c r="P308" s="78"/>
      <c r="Q308" s="78"/>
      <c r="R308" s="78"/>
      <c r="S308" s="78"/>
      <c r="T308" s="78"/>
      <c r="U308" s="78"/>
      <c r="V308" s="78"/>
      <c r="W308" s="78"/>
      <c r="X308" s="78"/>
      <c r="Y308" s="78"/>
      <c r="Z308" s="78"/>
      <c r="AA308" s="78"/>
      <c r="AB308" s="78"/>
    </row>
    <row r="309" spans="1:28" s="79" customFormat="1" ht="12.6" customHeight="1" x14ac:dyDescent="0.3">
      <c r="A309" s="102"/>
      <c r="B309" s="78"/>
      <c r="C309" s="78"/>
      <c r="D309" s="78"/>
      <c r="E309" s="78"/>
      <c r="F309" s="78"/>
      <c r="H309" s="78"/>
      <c r="I309" s="78"/>
      <c r="J309" s="78"/>
      <c r="K309" s="78"/>
      <c r="L309" s="78"/>
      <c r="M309" s="78"/>
      <c r="N309" s="78"/>
      <c r="O309" s="78"/>
      <c r="P309" s="78"/>
      <c r="Q309" s="78"/>
      <c r="R309" s="78"/>
      <c r="S309" s="78"/>
      <c r="T309" s="78"/>
      <c r="U309" s="78"/>
      <c r="V309" s="78"/>
      <c r="W309" s="78"/>
      <c r="X309" s="78"/>
      <c r="Y309" s="78"/>
      <c r="Z309" s="78"/>
      <c r="AA309" s="78"/>
      <c r="AB309" s="78"/>
    </row>
    <row r="310" spans="1:28" s="79" customFormat="1" ht="12.6" customHeight="1" x14ac:dyDescent="0.3">
      <c r="A310" s="102"/>
      <c r="B310" s="78"/>
      <c r="C310" s="78"/>
      <c r="D310" s="78"/>
      <c r="E310" s="78"/>
      <c r="F310" s="78"/>
      <c r="H310" s="78"/>
      <c r="I310" s="78"/>
      <c r="J310" s="78"/>
      <c r="K310" s="78"/>
      <c r="L310" s="78"/>
      <c r="M310" s="78"/>
      <c r="N310" s="78"/>
      <c r="O310" s="78"/>
      <c r="P310" s="78"/>
      <c r="Q310" s="78"/>
      <c r="R310" s="78"/>
      <c r="S310" s="78"/>
      <c r="T310" s="78"/>
      <c r="U310" s="78"/>
      <c r="V310" s="78"/>
      <c r="W310" s="78"/>
      <c r="X310" s="78"/>
      <c r="Y310" s="78"/>
      <c r="Z310" s="78"/>
      <c r="AA310" s="78"/>
      <c r="AB310" s="78"/>
    </row>
    <row r="311" spans="1:28" s="79" customFormat="1" ht="12.6" customHeight="1" x14ac:dyDescent="0.3">
      <c r="A311" s="102"/>
      <c r="B311" s="78"/>
      <c r="C311" s="78"/>
      <c r="D311" s="78"/>
      <c r="E311" s="78"/>
      <c r="F311" s="78"/>
      <c r="H311" s="78"/>
      <c r="I311" s="78"/>
      <c r="J311" s="78"/>
      <c r="K311" s="78"/>
      <c r="L311" s="78"/>
      <c r="M311" s="78"/>
      <c r="N311" s="78"/>
      <c r="O311" s="78"/>
      <c r="P311" s="78"/>
      <c r="Q311" s="78"/>
      <c r="R311" s="78"/>
      <c r="S311" s="78"/>
      <c r="T311" s="78"/>
      <c r="U311" s="78"/>
      <c r="V311" s="78"/>
      <c r="W311" s="78"/>
      <c r="X311" s="78"/>
      <c r="Y311" s="78"/>
      <c r="Z311" s="78"/>
      <c r="AA311" s="78"/>
      <c r="AB311" s="78"/>
    </row>
    <row r="312" spans="1:28" s="79" customFormat="1" ht="12.6" customHeight="1" x14ac:dyDescent="0.3">
      <c r="A312" s="102"/>
      <c r="B312" s="78"/>
      <c r="C312" s="78"/>
      <c r="D312" s="78"/>
      <c r="E312" s="78"/>
      <c r="F312" s="78"/>
      <c r="H312" s="78"/>
      <c r="I312" s="78"/>
      <c r="J312" s="78"/>
      <c r="K312" s="78"/>
      <c r="L312" s="78"/>
      <c r="M312" s="78"/>
      <c r="N312" s="78"/>
      <c r="O312" s="78"/>
      <c r="P312" s="78"/>
      <c r="Q312" s="78"/>
      <c r="R312" s="78"/>
      <c r="S312" s="78"/>
      <c r="T312" s="78"/>
      <c r="U312" s="78"/>
      <c r="V312" s="78"/>
      <c r="W312" s="78"/>
      <c r="X312" s="78"/>
      <c r="Y312" s="78"/>
      <c r="Z312" s="78"/>
      <c r="AA312" s="78"/>
      <c r="AB312" s="78"/>
    </row>
    <row r="313" spans="1:28" s="79" customFormat="1" ht="12.6" customHeight="1" x14ac:dyDescent="0.3">
      <c r="A313" s="102"/>
      <c r="B313" s="78"/>
      <c r="C313" s="78"/>
      <c r="D313" s="78"/>
      <c r="E313" s="78"/>
      <c r="F313" s="78"/>
      <c r="H313" s="78"/>
      <c r="I313" s="78"/>
      <c r="J313" s="78"/>
      <c r="K313" s="78"/>
      <c r="L313" s="78"/>
      <c r="M313" s="78"/>
      <c r="N313" s="78"/>
      <c r="O313" s="78"/>
      <c r="P313" s="78"/>
      <c r="Q313" s="78"/>
      <c r="R313" s="78"/>
      <c r="S313" s="78"/>
      <c r="T313" s="78"/>
      <c r="U313" s="78"/>
      <c r="V313" s="78"/>
      <c r="W313" s="78"/>
      <c r="X313" s="78"/>
      <c r="Y313" s="78"/>
      <c r="Z313" s="78"/>
      <c r="AA313" s="78"/>
      <c r="AB313" s="78"/>
    </row>
    <row r="314" spans="1:28" s="79" customFormat="1" ht="12.6" customHeight="1" x14ac:dyDescent="0.3">
      <c r="A314" s="102"/>
      <c r="B314" s="78"/>
      <c r="C314" s="78"/>
      <c r="D314" s="78"/>
      <c r="E314" s="78"/>
      <c r="F314" s="78"/>
      <c r="H314" s="78"/>
      <c r="I314" s="78"/>
      <c r="J314" s="78"/>
      <c r="K314" s="78"/>
      <c r="L314" s="78"/>
      <c r="M314" s="78"/>
      <c r="N314" s="78"/>
      <c r="O314" s="78"/>
      <c r="P314" s="78"/>
      <c r="Q314" s="78"/>
      <c r="R314" s="78"/>
      <c r="S314" s="78"/>
      <c r="T314" s="78"/>
      <c r="U314" s="78"/>
      <c r="V314" s="78"/>
      <c r="W314" s="78"/>
      <c r="X314" s="78"/>
      <c r="Y314" s="78"/>
      <c r="Z314" s="78"/>
      <c r="AA314" s="78"/>
      <c r="AB314" s="78"/>
    </row>
    <row r="315" spans="1:28" s="79" customFormat="1" ht="12.6" customHeight="1" x14ac:dyDescent="0.3">
      <c r="A315" s="102"/>
      <c r="B315" s="78"/>
      <c r="C315" s="78"/>
      <c r="D315" s="78"/>
      <c r="E315" s="78"/>
      <c r="F315" s="78"/>
      <c r="H315" s="78"/>
      <c r="I315" s="78"/>
      <c r="J315" s="78"/>
      <c r="K315" s="78"/>
      <c r="L315" s="78"/>
      <c r="M315" s="78"/>
      <c r="N315" s="78"/>
      <c r="O315" s="78"/>
      <c r="P315" s="78"/>
      <c r="Q315" s="78"/>
      <c r="R315" s="78"/>
      <c r="S315" s="78"/>
      <c r="T315" s="78"/>
      <c r="U315" s="78"/>
      <c r="V315" s="78"/>
      <c r="W315" s="78"/>
      <c r="X315" s="78"/>
      <c r="Y315" s="78"/>
      <c r="Z315" s="78"/>
      <c r="AA315" s="78"/>
      <c r="AB315" s="78"/>
    </row>
    <row r="316" spans="1:28" s="79" customFormat="1" ht="12.6" customHeight="1" x14ac:dyDescent="0.3">
      <c r="A316" s="102"/>
      <c r="B316" s="78"/>
      <c r="C316" s="78"/>
      <c r="D316" s="78"/>
      <c r="E316" s="78"/>
      <c r="F316" s="78"/>
      <c r="H316" s="78"/>
      <c r="I316" s="78"/>
      <c r="J316" s="78"/>
      <c r="K316" s="78"/>
      <c r="L316" s="78"/>
      <c r="M316" s="78"/>
      <c r="N316" s="78"/>
      <c r="O316" s="78"/>
      <c r="P316" s="78"/>
      <c r="Q316" s="78"/>
      <c r="R316" s="78"/>
      <c r="S316" s="78"/>
      <c r="T316" s="78"/>
      <c r="U316" s="78"/>
      <c r="V316" s="78"/>
      <c r="W316" s="78"/>
      <c r="X316" s="78"/>
      <c r="Y316" s="78"/>
      <c r="Z316" s="78"/>
      <c r="AA316" s="78"/>
      <c r="AB316" s="78"/>
    </row>
    <row r="317" spans="1:28" s="79" customFormat="1" ht="12.6" customHeight="1" x14ac:dyDescent="0.3">
      <c r="A317" s="102"/>
      <c r="B317" s="78"/>
      <c r="C317" s="78"/>
      <c r="D317" s="78"/>
      <c r="E317" s="78"/>
      <c r="F317" s="78"/>
      <c r="H317" s="78"/>
      <c r="I317" s="78"/>
      <c r="J317" s="78"/>
      <c r="K317" s="78"/>
      <c r="L317" s="78"/>
      <c r="M317" s="78"/>
      <c r="N317" s="78"/>
      <c r="O317" s="78"/>
      <c r="P317" s="78"/>
      <c r="Q317" s="78"/>
      <c r="R317" s="78"/>
      <c r="S317" s="78"/>
      <c r="T317" s="78"/>
      <c r="U317" s="78"/>
      <c r="V317" s="78"/>
      <c r="W317" s="78"/>
      <c r="X317" s="78"/>
      <c r="Y317" s="78"/>
      <c r="Z317" s="78"/>
      <c r="AA317" s="78"/>
      <c r="AB317" s="78"/>
    </row>
    <row r="318" spans="1:28" s="79" customFormat="1" ht="12.6" customHeight="1" x14ac:dyDescent="0.3">
      <c r="A318" s="102"/>
      <c r="B318" s="78"/>
      <c r="C318" s="78"/>
      <c r="D318" s="78"/>
      <c r="E318" s="78"/>
      <c r="F318" s="78"/>
      <c r="H318" s="78"/>
      <c r="I318" s="78"/>
      <c r="J318" s="78"/>
      <c r="K318" s="78"/>
      <c r="L318" s="78"/>
      <c r="M318" s="78"/>
      <c r="N318" s="78"/>
      <c r="O318" s="78"/>
      <c r="P318" s="78"/>
      <c r="Q318" s="78"/>
      <c r="R318" s="78"/>
      <c r="S318" s="78"/>
      <c r="T318" s="78"/>
      <c r="U318" s="78"/>
      <c r="V318" s="78"/>
      <c r="W318" s="78"/>
      <c r="X318" s="78"/>
      <c r="Y318" s="78"/>
      <c r="Z318" s="78"/>
      <c r="AA318" s="78"/>
      <c r="AB318" s="78"/>
    </row>
    <row r="319" spans="1:28" s="79" customFormat="1" ht="12.6" customHeight="1" x14ac:dyDescent="0.3">
      <c r="A319" s="102"/>
      <c r="B319" s="78"/>
      <c r="C319" s="78"/>
      <c r="D319" s="78"/>
      <c r="E319" s="78"/>
      <c r="F319" s="78"/>
      <c r="H319" s="78"/>
      <c r="I319" s="78"/>
      <c r="J319" s="78"/>
      <c r="K319" s="78"/>
      <c r="L319" s="78"/>
      <c r="M319" s="78"/>
      <c r="N319" s="78"/>
      <c r="O319" s="78"/>
      <c r="P319" s="78"/>
      <c r="Q319" s="78"/>
      <c r="R319" s="78"/>
      <c r="S319" s="78"/>
      <c r="T319" s="78"/>
      <c r="U319" s="78"/>
      <c r="V319" s="78"/>
      <c r="W319" s="78"/>
      <c r="X319" s="78"/>
      <c r="Y319" s="78"/>
      <c r="Z319" s="78"/>
      <c r="AA319" s="78"/>
      <c r="AB319" s="78"/>
    </row>
    <row r="320" spans="1:28" s="79" customFormat="1" ht="12.6" customHeight="1" x14ac:dyDescent="0.3">
      <c r="A320" s="102"/>
      <c r="B320" s="78"/>
      <c r="C320" s="78"/>
      <c r="D320" s="78"/>
      <c r="E320" s="78"/>
      <c r="F320" s="78"/>
      <c r="H320" s="78"/>
      <c r="I320" s="78"/>
      <c r="J320" s="78"/>
      <c r="K320" s="78"/>
      <c r="L320" s="78"/>
      <c r="M320" s="78"/>
      <c r="N320" s="78"/>
      <c r="O320" s="78"/>
      <c r="P320" s="78"/>
      <c r="Q320" s="78"/>
      <c r="R320" s="78"/>
      <c r="S320" s="78"/>
      <c r="T320" s="78"/>
      <c r="U320" s="78"/>
      <c r="V320" s="78"/>
      <c r="W320" s="78"/>
      <c r="X320" s="78"/>
      <c r="Y320" s="78"/>
      <c r="Z320" s="78"/>
      <c r="AA320" s="78"/>
      <c r="AB320" s="78"/>
    </row>
    <row r="321" spans="1:28" s="79" customFormat="1" ht="12.6" customHeight="1" x14ac:dyDescent="0.3">
      <c r="A321" s="102"/>
      <c r="B321" s="78"/>
      <c r="C321" s="78"/>
      <c r="D321" s="78"/>
      <c r="E321" s="78"/>
      <c r="F321" s="78"/>
      <c r="H321" s="78"/>
      <c r="I321" s="78"/>
      <c r="J321" s="78"/>
      <c r="K321" s="78"/>
      <c r="L321" s="78"/>
      <c r="M321" s="78"/>
      <c r="N321" s="78"/>
      <c r="O321" s="78"/>
      <c r="P321" s="78"/>
      <c r="Q321" s="78"/>
      <c r="R321" s="78"/>
      <c r="S321" s="78"/>
      <c r="T321" s="78"/>
      <c r="U321" s="78"/>
      <c r="V321" s="78"/>
      <c r="W321" s="78"/>
      <c r="X321" s="78"/>
      <c r="Y321" s="78"/>
      <c r="Z321" s="78"/>
      <c r="AA321" s="78"/>
      <c r="AB321" s="78"/>
    </row>
    <row r="322" spans="1:28" s="79" customFormat="1" ht="12.6" customHeight="1" x14ac:dyDescent="0.3">
      <c r="A322" s="102"/>
      <c r="B322" s="78"/>
      <c r="C322" s="78"/>
      <c r="D322" s="78"/>
      <c r="E322" s="78"/>
      <c r="F322" s="78"/>
      <c r="H322" s="78"/>
      <c r="I322" s="78"/>
      <c r="J322" s="78"/>
      <c r="K322" s="78"/>
      <c r="L322" s="78"/>
      <c r="M322" s="78"/>
      <c r="N322" s="78"/>
      <c r="O322" s="78"/>
      <c r="P322" s="78"/>
      <c r="Q322" s="78"/>
      <c r="R322" s="78"/>
      <c r="S322" s="78"/>
      <c r="T322" s="78"/>
      <c r="U322" s="78"/>
      <c r="V322" s="78"/>
      <c r="W322" s="78"/>
      <c r="X322" s="78"/>
      <c r="Y322" s="78"/>
      <c r="Z322" s="78"/>
      <c r="AA322" s="78"/>
      <c r="AB322" s="78"/>
    </row>
    <row r="323" spans="1:28" s="79" customFormat="1" ht="12.6" customHeight="1" x14ac:dyDescent="0.3">
      <c r="A323" s="102"/>
      <c r="B323" s="78"/>
      <c r="C323" s="78"/>
      <c r="D323" s="78"/>
      <c r="E323" s="78"/>
      <c r="F323" s="78"/>
      <c r="H323" s="78"/>
      <c r="I323" s="78"/>
      <c r="J323" s="78"/>
      <c r="K323" s="78"/>
      <c r="L323" s="78"/>
      <c r="M323" s="78"/>
      <c r="N323" s="78"/>
      <c r="O323" s="78"/>
      <c r="P323" s="78"/>
      <c r="Q323" s="78"/>
      <c r="R323" s="78"/>
      <c r="S323" s="78"/>
      <c r="T323" s="78"/>
      <c r="U323" s="78"/>
      <c r="V323" s="78"/>
      <c r="W323" s="78"/>
      <c r="X323" s="78"/>
      <c r="Y323" s="78"/>
      <c r="Z323" s="78"/>
      <c r="AA323" s="78"/>
      <c r="AB323" s="78"/>
    </row>
    <row r="324" spans="1:28" s="79" customFormat="1" ht="12.6" customHeight="1" x14ac:dyDescent="0.3">
      <c r="A324" s="102"/>
      <c r="B324" s="78"/>
      <c r="C324" s="78"/>
      <c r="D324" s="78"/>
      <c r="E324" s="78"/>
      <c r="F324" s="78"/>
      <c r="H324" s="78"/>
      <c r="I324" s="78"/>
      <c r="J324" s="78"/>
      <c r="K324" s="78"/>
      <c r="L324" s="78"/>
      <c r="M324" s="78"/>
      <c r="N324" s="78"/>
      <c r="O324" s="78"/>
      <c r="P324" s="78"/>
      <c r="Q324" s="78"/>
      <c r="R324" s="78"/>
      <c r="S324" s="78"/>
      <c r="T324" s="78"/>
      <c r="U324" s="78"/>
      <c r="V324" s="78"/>
      <c r="W324" s="78"/>
      <c r="X324" s="78"/>
      <c r="Y324" s="78"/>
      <c r="Z324" s="78"/>
      <c r="AA324" s="78"/>
      <c r="AB324" s="78"/>
    </row>
    <row r="325" spans="1:28" s="79" customFormat="1" ht="12.6" customHeight="1" x14ac:dyDescent="0.3">
      <c r="A325" s="102"/>
      <c r="B325" s="78"/>
      <c r="C325" s="78"/>
      <c r="D325" s="78"/>
      <c r="E325" s="78"/>
      <c r="F325" s="78"/>
      <c r="H325" s="78"/>
      <c r="I325" s="78"/>
      <c r="J325" s="78"/>
      <c r="K325" s="78"/>
      <c r="L325" s="78"/>
      <c r="M325" s="78"/>
      <c r="N325" s="78"/>
      <c r="O325" s="78"/>
      <c r="P325" s="78"/>
      <c r="Q325" s="78"/>
      <c r="R325" s="78"/>
      <c r="S325" s="78"/>
      <c r="T325" s="78"/>
      <c r="U325" s="78"/>
      <c r="V325" s="78"/>
      <c r="W325" s="78"/>
      <c r="X325" s="78"/>
      <c r="Y325" s="78"/>
      <c r="Z325" s="78"/>
      <c r="AA325" s="78"/>
      <c r="AB325" s="78"/>
    </row>
    <row r="326" spans="1:28" s="79" customFormat="1" ht="12.6" customHeight="1" x14ac:dyDescent="0.3">
      <c r="A326" s="102"/>
      <c r="B326" s="78"/>
      <c r="C326" s="78"/>
      <c r="D326" s="78"/>
      <c r="E326" s="78"/>
      <c r="F326" s="78"/>
      <c r="H326" s="78"/>
      <c r="I326" s="78"/>
      <c r="J326" s="78"/>
      <c r="K326" s="78"/>
      <c r="L326" s="78"/>
      <c r="M326" s="78"/>
      <c r="N326" s="78"/>
      <c r="O326" s="78"/>
      <c r="P326" s="78"/>
      <c r="Q326" s="78"/>
      <c r="R326" s="78"/>
      <c r="S326" s="78"/>
      <c r="T326" s="78"/>
      <c r="U326" s="78"/>
      <c r="V326" s="78"/>
      <c r="W326" s="78"/>
      <c r="X326" s="78"/>
      <c r="Y326" s="78"/>
      <c r="Z326" s="78"/>
      <c r="AA326" s="78"/>
      <c r="AB326" s="78"/>
    </row>
    <row r="327" spans="1:28" s="79" customFormat="1" ht="12.6" customHeight="1" x14ac:dyDescent="0.3">
      <c r="A327" s="102"/>
      <c r="B327" s="78"/>
      <c r="C327" s="78"/>
      <c r="D327" s="78"/>
      <c r="E327" s="78"/>
      <c r="F327" s="78"/>
      <c r="H327" s="78"/>
      <c r="I327" s="78"/>
      <c r="J327" s="78"/>
      <c r="K327" s="78"/>
      <c r="L327" s="78"/>
      <c r="M327" s="78"/>
      <c r="N327" s="78"/>
      <c r="O327" s="78"/>
      <c r="P327" s="78"/>
      <c r="Q327" s="78"/>
      <c r="R327" s="78"/>
      <c r="S327" s="78"/>
      <c r="T327" s="78"/>
      <c r="U327" s="78"/>
      <c r="V327" s="78"/>
      <c r="W327" s="78"/>
      <c r="X327" s="78"/>
      <c r="Y327" s="78"/>
      <c r="Z327" s="78"/>
      <c r="AA327" s="78"/>
      <c r="AB327" s="78"/>
    </row>
    <row r="328" spans="1:28" s="79" customFormat="1" ht="12.6" customHeight="1" x14ac:dyDescent="0.3">
      <c r="A328" s="102"/>
      <c r="B328" s="78"/>
      <c r="C328" s="78"/>
      <c r="D328" s="78"/>
      <c r="E328" s="78"/>
      <c r="F328" s="78"/>
      <c r="H328" s="78"/>
      <c r="I328" s="78"/>
      <c r="J328" s="78"/>
      <c r="K328" s="78"/>
      <c r="L328" s="78"/>
      <c r="M328" s="78"/>
      <c r="N328" s="78"/>
      <c r="O328" s="78"/>
      <c r="P328" s="78"/>
      <c r="Q328" s="78"/>
      <c r="R328" s="78"/>
      <c r="S328" s="78"/>
      <c r="T328" s="78"/>
      <c r="U328" s="78"/>
      <c r="V328" s="78"/>
      <c r="W328" s="78"/>
      <c r="X328" s="78"/>
      <c r="Y328" s="78"/>
      <c r="Z328" s="78"/>
      <c r="AA328" s="78"/>
      <c r="AB328" s="78"/>
    </row>
    <row r="329" spans="1:28" s="79" customFormat="1" ht="12.6" customHeight="1" x14ac:dyDescent="0.3">
      <c r="A329" s="102"/>
      <c r="B329" s="78"/>
      <c r="C329" s="78"/>
      <c r="D329" s="78"/>
      <c r="E329" s="78"/>
      <c r="F329" s="78"/>
      <c r="H329" s="78"/>
      <c r="I329" s="78"/>
      <c r="J329" s="78"/>
      <c r="K329" s="78"/>
      <c r="L329" s="78"/>
      <c r="M329" s="78"/>
      <c r="N329" s="78"/>
      <c r="O329" s="78"/>
      <c r="P329" s="78"/>
      <c r="Q329" s="78"/>
      <c r="R329" s="78"/>
      <c r="S329" s="78"/>
      <c r="T329" s="78"/>
      <c r="U329" s="78"/>
      <c r="V329" s="78"/>
      <c r="W329" s="78"/>
      <c r="X329" s="78"/>
      <c r="Y329" s="78"/>
      <c r="Z329" s="78"/>
      <c r="AA329" s="78"/>
      <c r="AB329" s="78"/>
    </row>
    <row r="330" spans="1:28" s="79" customFormat="1" ht="12.6" customHeight="1" x14ac:dyDescent="0.3">
      <c r="A330" s="102"/>
      <c r="B330" s="78"/>
      <c r="C330" s="78"/>
      <c r="D330" s="78"/>
      <c r="E330" s="78"/>
      <c r="F330" s="78"/>
      <c r="H330" s="78"/>
      <c r="I330" s="78"/>
      <c r="J330" s="78"/>
      <c r="K330" s="78"/>
      <c r="L330" s="78"/>
      <c r="M330" s="78"/>
      <c r="N330" s="78"/>
      <c r="O330" s="78"/>
      <c r="P330" s="78"/>
      <c r="Q330" s="78"/>
      <c r="R330" s="78"/>
      <c r="S330" s="78"/>
      <c r="T330" s="78"/>
      <c r="U330" s="78"/>
      <c r="V330" s="78"/>
      <c r="W330" s="78"/>
      <c r="X330" s="78"/>
      <c r="Y330" s="78"/>
      <c r="Z330" s="78"/>
      <c r="AA330" s="78"/>
      <c r="AB330" s="78"/>
    </row>
    <row r="331" spans="1:28" s="79" customFormat="1" ht="12.6" customHeight="1" x14ac:dyDescent="0.3">
      <c r="A331" s="102"/>
      <c r="B331" s="78"/>
      <c r="C331" s="78"/>
      <c r="D331" s="78"/>
      <c r="E331" s="78"/>
      <c r="F331" s="78"/>
      <c r="H331" s="78"/>
      <c r="I331" s="78"/>
      <c r="J331" s="78"/>
      <c r="K331" s="78"/>
      <c r="L331" s="78"/>
      <c r="M331" s="78"/>
      <c r="N331" s="78"/>
      <c r="O331" s="78"/>
      <c r="P331" s="78"/>
      <c r="Q331" s="78"/>
      <c r="R331" s="78"/>
      <c r="S331" s="78"/>
      <c r="T331" s="78"/>
      <c r="U331" s="78"/>
      <c r="V331" s="78"/>
      <c r="W331" s="78"/>
      <c r="X331" s="78"/>
      <c r="Y331" s="78"/>
      <c r="Z331" s="78"/>
      <c r="AA331" s="78"/>
      <c r="AB331" s="78"/>
    </row>
    <row r="332" spans="1:28" s="79" customFormat="1" ht="12.6" customHeight="1" x14ac:dyDescent="0.3">
      <c r="A332" s="102"/>
      <c r="B332" s="78"/>
      <c r="C332" s="78"/>
      <c r="D332" s="78"/>
      <c r="E332" s="78"/>
      <c r="F332" s="78"/>
      <c r="H332" s="78"/>
      <c r="I332" s="78"/>
      <c r="J332" s="78"/>
      <c r="K332" s="78"/>
      <c r="L332" s="78"/>
      <c r="M332" s="78"/>
      <c r="N332" s="78"/>
      <c r="O332" s="78"/>
      <c r="P332" s="78"/>
      <c r="Q332" s="78"/>
      <c r="R332" s="78"/>
      <c r="S332" s="78"/>
      <c r="T332" s="78"/>
      <c r="U332" s="78"/>
      <c r="V332" s="78"/>
      <c r="W332" s="78"/>
      <c r="X332" s="78"/>
      <c r="Y332" s="78"/>
      <c r="Z332" s="78"/>
      <c r="AA332" s="78"/>
      <c r="AB332" s="78"/>
    </row>
    <row r="333" spans="1:28" s="79" customFormat="1" ht="12.6" customHeight="1" x14ac:dyDescent="0.3">
      <c r="A333" s="102"/>
      <c r="B333" s="78"/>
      <c r="C333" s="78"/>
      <c r="D333" s="78"/>
      <c r="E333" s="78"/>
      <c r="F333" s="78"/>
      <c r="H333" s="78"/>
      <c r="I333" s="78"/>
      <c r="J333" s="78"/>
      <c r="K333" s="78"/>
      <c r="L333" s="78"/>
      <c r="M333" s="78"/>
      <c r="N333" s="78"/>
      <c r="O333" s="78"/>
      <c r="P333" s="78"/>
      <c r="Q333" s="78"/>
      <c r="R333" s="78"/>
      <c r="S333" s="78"/>
      <c r="T333" s="78"/>
      <c r="U333" s="78"/>
      <c r="V333" s="78"/>
      <c r="W333" s="78"/>
      <c r="X333" s="78"/>
      <c r="Y333" s="78"/>
      <c r="Z333" s="78"/>
      <c r="AA333" s="78"/>
      <c r="AB333" s="78"/>
    </row>
    <row r="334" spans="1:28" s="79" customFormat="1" ht="12.6" customHeight="1" x14ac:dyDescent="0.3">
      <c r="A334" s="102"/>
      <c r="B334" s="78"/>
      <c r="C334" s="78"/>
      <c r="D334" s="78"/>
      <c r="E334" s="78"/>
      <c r="F334" s="78"/>
      <c r="H334" s="78"/>
      <c r="I334" s="78"/>
      <c r="J334" s="78"/>
      <c r="K334" s="78"/>
      <c r="L334" s="78"/>
      <c r="M334" s="78"/>
      <c r="N334" s="78"/>
      <c r="O334" s="78"/>
      <c r="P334" s="78"/>
      <c r="Q334" s="78"/>
      <c r="R334" s="78"/>
      <c r="S334" s="78"/>
      <c r="T334" s="78"/>
      <c r="U334" s="78"/>
      <c r="V334" s="78"/>
      <c r="W334" s="78"/>
      <c r="X334" s="78"/>
      <c r="Y334" s="78"/>
      <c r="Z334" s="78"/>
      <c r="AA334" s="78"/>
      <c r="AB334" s="78"/>
    </row>
    <row r="335" spans="1:28" s="79" customFormat="1" ht="12.6" customHeight="1" x14ac:dyDescent="0.3">
      <c r="A335" s="102"/>
      <c r="B335" s="78"/>
      <c r="C335" s="78"/>
      <c r="D335" s="78"/>
      <c r="E335" s="78"/>
      <c r="F335" s="78"/>
      <c r="H335" s="78"/>
      <c r="I335" s="78"/>
      <c r="J335" s="78"/>
      <c r="K335" s="78"/>
      <c r="L335" s="78"/>
      <c r="M335" s="78"/>
      <c r="N335" s="78"/>
      <c r="O335" s="78"/>
      <c r="P335" s="78"/>
      <c r="Q335" s="78"/>
      <c r="R335" s="78"/>
      <c r="S335" s="78"/>
      <c r="T335" s="78"/>
      <c r="U335" s="78"/>
      <c r="V335" s="78"/>
      <c r="W335" s="78"/>
      <c r="X335" s="78"/>
      <c r="Y335" s="78"/>
      <c r="Z335" s="78"/>
      <c r="AA335" s="78"/>
      <c r="AB335" s="78"/>
    </row>
    <row r="336" spans="1:28" s="79" customFormat="1" ht="12.6" customHeight="1" x14ac:dyDescent="0.3">
      <c r="A336" s="102"/>
      <c r="B336" s="78"/>
      <c r="C336" s="78"/>
      <c r="D336" s="78"/>
      <c r="E336" s="78"/>
      <c r="F336" s="78"/>
      <c r="H336" s="78"/>
      <c r="I336" s="78"/>
      <c r="J336" s="78"/>
      <c r="K336" s="78"/>
      <c r="L336" s="78"/>
      <c r="M336" s="78"/>
      <c r="N336" s="78"/>
      <c r="O336" s="78"/>
      <c r="P336" s="78"/>
      <c r="Q336" s="78"/>
      <c r="R336" s="78"/>
      <c r="S336" s="78"/>
      <c r="T336" s="78"/>
      <c r="U336" s="78"/>
      <c r="V336" s="78"/>
      <c r="W336" s="78"/>
      <c r="X336" s="78"/>
      <c r="Y336" s="78"/>
      <c r="Z336" s="78"/>
      <c r="AA336" s="78"/>
      <c r="AB336" s="78"/>
    </row>
    <row r="337" spans="1:28" s="79" customFormat="1" ht="12.6" customHeight="1" x14ac:dyDescent="0.3">
      <c r="A337" s="102"/>
      <c r="B337" s="78"/>
      <c r="C337" s="78"/>
      <c r="D337" s="78"/>
      <c r="E337" s="78"/>
      <c r="F337" s="78"/>
      <c r="H337" s="78"/>
      <c r="I337" s="78"/>
      <c r="J337" s="78"/>
      <c r="K337" s="78"/>
      <c r="L337" s="78"/>
      <c r="M337" s="78"/>
      <c r="N337" s="78"/>
      <c r="O337" s="78"/>
      <c r="P337" s="78"/>
      <c r="Q337" s="78"/>
      <c r="R337" s="78"/>
      <c r="S337" s="78"/>
      <c r="T337" s="78"/>
      <c r="U337" s="78"/>
      <c r="V337" s="78"/>
      <c r="W337" s="78"/>
      <c r="X337" s="78"/>
      <c r="Y337" s="78"/>
      <c r="Z337" s="78"/>
      <c r="AA337" s="78"/>
      <c r="AB337" s="78"/>
    </row>
    <row r="338" spans="1:28" s="79" customFormat="1" ht="12.6" customHeight="1" x14ac:dyDescent="0.3">
      <c r="A338" s="102"/>
      <c r="B338" s="78"/>
      <c r="C338" s="78"/>
      <c r="D338" s="78"/>
      <c r="E338" s="78"/>
      <c r="F338" s="78"/>
      <c r="H338" s="78"/>
      <c r="I338" s="78"/>
      <c r="J338" s="78"/>
      <c r="K338" s="78"/>
      <c r="L338" s="78"/>
      <c r="M338" s="78"/>
      <c r="N338" s="78"/>
      <c r="O338" s="78"/>
      <c r="P338" s="78"/>
      <c r="Q338" s="78"/>
      <c r="R338" s="78"/>
      <c r="S338" s="78"/>
      <c r="T338" s="78"/>
      <c r="U338" s="78"/>
      <c r="V338" s="78"/>
      <c r="W338" s="78"/>
      <c r="X338" s="78"/>
      <c r="Y338" s="78"/>
      <c r="Z338" s="78"/>
      <c r="AA338" s="78"/>
      <c r="AB338" s="78"/>
    </row>
    <row r="339" spans="1:28" s="79" customFormat="1" ht="12.6" customHeight="1" x14ac:dyDescent="0.3">
      <c r="A339" s="102"/>
      <c r="B339" s="78"/>
      <c r="C339" s="78"/>
      <c r="D339" s="78"/>
      <c r="E339" s="78"/>
      <c r="F339" s="78"/>
      <c r="H339" s="78"/>
      <c r="I339" s="78"/>
      <c r="J339" s="78"/>
      <c r="K339" s="78"/>
      <c r="L339" s="78"/>
      <c r="M339" s="78"/>
      <c r="N339" s="78"/>
      <c r="O339" s="78"/>
      <c r="P339" s="78"/>
      <c r="Q339" s="78"/>
      <c r="R339" s="78"/>
      <c r="S339" s="78"/>
      <c r="T339" s="78"/>
      <c r="U339" s="78"/>
      <c r="V339" s="78"/>
      <c r="W339" s="78"/>
      <c r="X339" s="78"/>
      <c r="Y339" s="78"/>
      <c r="Z339" s="78"/>
      <c r="AA339" s="78"/>
      <c r="AB339" s="78"/>
    </row>
    <row r="340" spans="1:28" s="79" customFormat="1" ht="12.6" customHeight="1" x14ac:dyDescent="0.3">
      <c r="A340" s="102"/>
      <c r="B340" s="78"/>
      <c r="C340" s="78"/>
      <c r="D340" s="78"/>
      <c r="E340" s="78"/>
      <c r="F340" s="78"/>
      <c r="H340" s="78"/>
      <c r="I340" s="78"/>
      <c r="J340" s="78"/>
      <c r="K340" s="78"/>
      <c r="L340" s="78"/>
      <c r="M340" s="78"/>
      <c r="N340" s="78"/>
      <c r="O340" s="78"/>
      <c r="P340" s="78"/>
      <c r="Q340" s="78"/>
      <c r="R340" s="78"/>
      <c r="S340" s="78"/>
      <c r="T340" s="78"/>
      <c r="U340" s="78"/>
      <c r="V340" s="78"/>
      <c r="W340" s="78"/>
      <c r="X340" s="78"/>
      <c r="Y340" s="78"/>
      <c r="Z340" s="78"/>
      <c r="AA340" s="78"/>
      <c r="AB340" s="78"/>
    </row>
    <row r="341" spans="1:28" s="79" customFormat="1" ht="12.6" customHeight="1" x14ac:dyDescent="0.3">
      <c r="A341" s="102"/>
      <c r="B341" s="78"/>
      <c r="C341" s="78"/>
      <c r="D341" s="78"/>
      <c r="E341" s="78"/>
      <c r="F341" s="78"/>
      <c r="H341" s="78"/>
      <c r="I341" s="78"/>
      <c r="J341" s="78"/>
      <c r="K341" s="78"/>
      <c r="L341" s="78"/>
      <c r="M341" s="78"/>
      <c r="N341" s="78"/>
      <c r="O341" s="78"/>
      <c r="P341" s="78"/>
      <c r="Q341" s="78"/>
      <c r="R341" s="78"/>
      <c r="S341" s="78"/>
      <c r="T341" s="78"/>
      <c r="U341" s="78"/>
      <c r="V341" s="78"/>
      <c r="W341" s="78"/>
      <c r="X341" s="78"/>
      <c r="Y341" s="78"/>
      <c r="Z341" s="78"/>
      <c r="AA341" s="78"/>
      <c r="AB341" s="78"/>
    </row>
    <row r="342" spans="1:28" s="79" customFormat="1" ht="12.6" customHeight="1" x14ac:dyDescent="0.3">
      <c r="A342" s="102"/>
      <c r="B342" s="78"/>
      <c r="C342" s="78"/>
      <c r="D342" s="78"/>
      <c r="E342" s="78"/>
      <c r="F342" s="78"/>
      <c r="H342" s="78"/>
      <c r="I342" s="78"/>
      <c r="J342" s="78"/>
      <c r="K342" s="78"/>
      <c r="L342" s="78"/>
      <c r="M342" s="78"/>
      <c r="N342" s="78"/>
      <c r="O342" s="78"/>
      <c r="P342" s="78"/>
      <c r="Q342" s="78"/>
      <c r="R342" s="78"/>
      <c r="S342" s="78"/>
      <c r="T342" s="78"/>
      <c r="U342" s="78"/>
      <c r="V342" s="78"/>
      <c r="W342" s="78"/>
      <c r="X342" s="78"/>
      <c r="Y342" s="78"/>
      <c r="Z342" s="78"/>
      <c r="AA342" s="78"/>
      <c r="AB342" s="78"/>
    </row>
    <row r="343" spans="1:28" s="79" customFormat="1" ht="12.6" customHeight="1" x14ac:dyDescent="0.3">
      <c r="A343" s="102"/>
      <c r="B343" s="78"/>
      <c r="C343" s="78"/>
      <c r="D343" s="78"/>
      <c r="E343" s="78"/>
      <c r="F343" s="78"/>
      <c r="H343" s="78"/>
      <c r="I343" s="78"/>
      <c r="J343" s="78"/>
      <c r="K343" s="78"/>
      <c r="L343" s="78"/>
      <c r="M343" s="78"/>
      <c r="N343" s="78"/>
      <c r="O343" s="78"/>
      <c r="P343" s="78"/>
      <c r="Q343" s="78"/>
      <c r="R343" s="78"/>
      <c r="S343" s="78"/>
      <c r="T343" s="78"/>
      <c r="U343" s="78"/>
      <c r="V343" s="78"/>
      <c r="W343" s="78"/>
      <c r="X343" s="78"/>
      <c r="Y343" s="78"/>
      <c r="Z343" s="78"/>
      <c r="AA343" s="78"/>
      <c r="AB343" s="78"/>
    </row>
    <row r="344" spans="1:28" s="79" customFormat="1" ht="12.6" customHeight="1" x14ac:dyDescent="0.3">
      <c r="A344" s="102"/>
      <c r="B344" s="78"/>
      <c r="C344" s="78"/>
      <c r="D344" s="78"/>
      <c r="E344" s="78"/>
      <c r="F344" s="78"/>
      <c r="H344" s="78"/>
      <c r="I344" s="78"/>
      <c r="J344" s="78"/>
      <c r="K344" s="78"/>
      <c r="L344" s="78"/>
      <c r="M344" s="78"/>
      <c r="N344" s="78"/>
      <c r="O344" s="78"/>
      <c r="P344" s="78"/>
      <c r="Q344" s="78"/>
      <c r="R344" s="78"/>
      <c r="S344" s="78"/>
      <c r="T344" s="78"/>
      <c r="U344" s="78"/>
      <c r="V344" s="78"/>
      <c r="W344" s="78"/>
      <c r="X344" s="78"/>
      <c r="Y344" s="78"/>
      <c r="Z344" s="78"/>
      <c r="AA344" s="78"/>
      <c r="AB344" s="78"/>
    </row>
    <row r="345" spans="1:28" s="79" customFormat="1" ht="12.6" customHeight="1" x14ac:dyDescent="0.3">
      <c r="A345" s="102"/>
      <c r="B345" s="78"/>
      <c r="C345" s="78"/>
      <c r="D345" s="78"/>
      <c r="E345" s="78"/>
      <c r="F345" s="78"/>
      <c r="H345" s="78"/>
      <c r="I345" s="78"/>
      <c r="J345" s="78"/>
      <c r="K345" s="78"/>
      <c r="L345" s="78"/>
      <c r="M345" s="78"/>
      <c r="N345" s="78"/>
      <c r="O345" s="78"/>
      <c r="P345" s="78"/>
      <c r="Q345" s="78"/>
      <c r="R345" s="78"/>
      <c r="S345" s="78"/>
      <c r="T345" s="78"/>
      <c r="U345" s="78"/>
      <c r="V345" s="78"/>
      <c r="W345" s="78"/>
      <c r="X345" s="78"/>
      <c r="Y345" s="78"/>
      <c r="Z345" s="78"/>
      <c r="AA345" s="78"/>
      <c r="AB345" s="78"/>
    </row>
    <row r="346" spans="1:28" s="79" customFormat="1" ht="12.6" customHeight="1" x14ac:dyDescent="0.3">
      <c r="A346" s="102"/>
      <c r="B346" s="78"/>
      <c r="C346" s="78"/>
      <c r="D346" s="78"/>
      <c r="E346" s="78"/>
      <c r="F346" s="78"/>
      <c r="H346" s="78"/>
      <c r="I346" s="78"/>
      <c r="J346" s="78"/>
      <c r="K346" s="78"/>
      <c r="L346" s="78"/>
      <c r="M346" s="78"/>
      <c r="N346" s="78"/>
      <c r="O346" s="78"/>
      <c r="P346" s="78"/>
      <c r="Q346" s="78"/>
      <c r="R346" s="78"/>
      <c r="S346" s="78"/>
      <c r="T346" s="78"/>
      <c r="U346" s="78"/>
      <c r="V346" s="78"/>
      <c r="W346" s="78"/>
      <c r="X346" s="78"/>
      <c r="Y346" s="78"/>
      <c r="Z346" s="78"/>
      <c r="AA346" s="78"/>
      <c r="AB346" s="78"/>
    </row>
    <row r="347" spans="1:28" s="79" customFormat="1" ht="12.6" customHeight="1" x14ac:dyDescent="0.3">
      <c r="A347" s="102"/>
      <c r="B347" s="78"/>
      <c r="C347" s="78"/>
      <c r="D347" s="78"/>
      <c r="E347" s="78"/>
      <c r="F347" s="78"/>
      <c r="H347" s="78"/>
      <c r="I347" s="78"/>
      <c r="J347" s="78"/>
      <c r="K347" s="78"/>
      <c r="L347" s="78"/>
      <c r="M347" s="78"/>
      <c r="N347" s="78"/>
      <c r="O347" s="78"/>
      <c r="P347" s="78"/>
      <c r="Q347" s="78"/>
      <c r="R347" s="78"/>
      <c r="S347" s="78"/>
      <c r="T347" s="78"/>
      <c r="U347" s="78"/>
      <c r="V347" s="78"/>
      <c r="W347" s="78"/>
      <c r="X347" s="78"/>
      <c r="Y347" s="78"/>
      <c r="Z347" s="78"/>
      <c r="AA347" s="78"/>
      <c r="AB347" s="78"/>
    </row>
    <row r="348" spans="1:28" s="79" customFormat="1" ht="12.6" customHeight="1" x14ac:dyDescent="0.3">
      <c r="A348" s="102"/>
      <c r="B348" s="78"/>
      <c r="C348" s="78"/>
      <c r="D348" s="78"/>
      <c r="E348" s="78"/>
      <c r="F348" s="78"/>
      <c r="H348" s="78"/>
      <c r="I348" s="78"/>
      <c r="J348" s="78"/>
      <c r="K348" s="78"/>
      <c r="L348" s="78"/>
      <c r="M348" s="78"/>
      <c r="N348" s="78"/>
      <c r="O348" s="78"/>
      <c r="P348" s="78"/>
      <c r="Q348" s="78"/>
      <c r="R348" s="78"/>
      <c r="S348" s="78"/>
      <c r="T348" s="78"/>
      <c r="U348" s="78"/>
      <c r="V348" s="78"/>
      <c r="W348" s="78"/>
      <c r="X348" s="78"/>
      <c r="Y348" s="78"/>
      <c r="Z348" s="78"/>
      <c r="AA348" s="78"/>
      <c r="AB348" s="78"/>
    </row>
    <row r="349" spans="1:28" s="79" customFormat="1" ht="12.6" customHeight="1" x14ac:dyDescent="0.3">
      <c r="A349" s="102"/>
      <c r="B349" s="78"/>
      <c r="C349" s="78"/>
      <c r="D349" s="78"/>
      <c r="E349" s="78"/>
      <c r="F349" s="78"/>
      <c r="H349" s="78"/>
      <c r="I349" s="78"/>
      <c r="J349" s="78"/>
      <c r="K349" s="78"/>
      <c r="L349" s="78"/>
      <c r="M349" s="78"/>
      <c r="N349" s="78"/>
      <c r="O349" s="78"/>
      <c r="P349" s="78"/>
      <c r="Q349" s="78"/>
      <c r="R349" s="78"/>
      <c r="S349" s="78"/>
      <c r="T349" s="78"/>
      <c r="U349" s="78"/>
      <c r="V349" s="78"/>
      <c r="W349" s="78"/>
      <c r="X349" s="78"/>
      <c r="Y349" s="78"/>
      <c r="Z349" s="78"/>
      <c r="AA349" s="78"/>
      <c r="AB349" s="78"/>
    </row>
    <row r="350" spans="1:28" s="79" customFormat="1" ht="12.6" customHeight="1" x14ac:dyDescent="0.3">
      <c r="A350" s="102"/>
      <c r="B350" s="78"/>
      <c r="C350" s="78"/>
      <c r="D350" s="78"/>
      <c r="E350" s="78"/>
      <c r="F350" s="78"/>
      <c r="H350" s="78"/>
      <c r="I350" s="78"/>
      <c r="J350" s="78"/>
      <c r="K350" s="78"/>
      <c r="L350" s="78"/>
      <c r="M350" s="78"/>
      <c r="N350" s="78"/>
      <c r="O350" s="78"/>
      <c r="P350" s="78"/>
      <c r="Q350" s="78"/>
      <c r="R350" s="78"/>
      <c r="S350" s="78"/>
      <c r="T350" s="78"/>
      <c r="U350" s="78"/>
      <c r="V350" s="78"/>
      <c r="W350" s="78"/>
      <c r="X350" s="78"/>
      <c r="Y350" s="78"/>
      <c r="Z350" s="78"/>
      <c r="AA350" s="78"/>
      <c r="AB350" s="78"/>
    </row>
    <row r="351" spans="1:28" s="79" customFormat="1" ht="12.6" customHeight="1" x14ac:dyDescent="0.3">
      <c r="A351" s="102"/>
      <c r="B351" s="78"/>
      <c r="C351" s="78"/>
      <c r="D351" s="78"/>
      <c r="E351" s="78"/>
      <c r="F351" s="78"/>
      <c r="H351" s="78"/>
      <c r="I351" s="78"/>
      <c r="J351" s="78"/>
      <c r="K351" s="78"/>
      <c r="L351" s="78"/>
      <c r="M351" s="78"/>
      <c r="N351" s="78"/>
      <c r="O351" s="78"/>
      <c r="P351" s="78"/>
      <c r="Q351" s="78"/>
      <c r="R351" s="78"/>
      <c r="S351" s="78"/>
      <c r="T351" s="78"/>
      <c r="U351" s="78"/>
      <c r="V351" s="78"/>
      <c r="W351" s="78"/>
      <c r="X351" s="78"/>
      <c r="Y351" s="78"/>
      <c r="Z351" s="78"/>
      <c r="AA351" s="78"/>
      <c r="AB351" s="78"/>
    </row>
    <row r="352" spans="1:28" s="79" customFormat="1" ht="12.6" customHeight="1" x14ac:dyDescent="0.3">
      <c r="A352" s="102"/>
      <c r="B352" s="78"/>
      <c r="C352" s="78"/>
      <c r="D352" s="78"/>
      <c r="E352" s="78"/>
      <c r="F352" s="78"/>
      <c r="H352" s="78"/>
      <c r="I352" s="78"/>
      <c r="J352" s="78"/>
      <c r="K352" s="78"/>
      <c r="L352" s="78"/>
      <c r="M352" s="78"/>
      <c r="N352" s="78"/>
      <c r="O352" s="78"/>
      <c r="P352" s="78"/>
      <c r="Q352" s="78"/>
      <c r="R352" s="78"/>
      <c r="S352" s="78"/>
      <c r="T352" s="78"/>
      <c r="U352" s="78"/>
      <c r="V352" s="78"/>
      <c r="W352" s="78"/>
      <c r="X352" s="78"/>
      <c r="Y352" s="78"/>
      <c r="Z352" s="78"/>
      <c r="AA352" s="78"/>
      <c r="AB352" s="78"/>
    </row>
    <row r="353" spans="1:28" s="79" customFormat="1" ht="12.6" customHeight="1" x14ac:dyDescent="0.3">
      <c r="A353" s="102"/>
      <c r="B353" s="78"/>
      <c r="C353" s="78"/>
      <c r="D353" s="78"/>
      <c r="E353" s="78"/>
      <c r="F353" s="78"/>
      <c r="H353" s="78"/>
      <c r="I353" s="78"/>
      <c r="J353" s="78"/>
      <c r="K353" s="78"/>
      <c r="L353" s="78"/>
      <c r="M353" s="78"/>
      <c r="N353" s="78"/>
      <c r="O353" s="78"/>
      <c r="P353" s="78"/>
      <c r="Q353" s="78"/>
      <c r="R353" s="78"/>
      <c r="S353" s="78"/>
      <c r="T353" s="78"/>
      <c r="U353" s="78"/>
      <c r="V353" s="78"/>
      <c r="W353" s="78"/>
      <c r="X353" s="78"/>
      <c r="Y353" s="78"/>
      <c r="Z353" s="78"/>
      <c r="AA353" s="78"/>
      <c r="AB353" s="78"/>
    </row>
    <row r="354" spans="1:28" s="79" customFormat="1" ht="12.6" customHeight="1" x14ac:dyDescent="0.3">
      <c r="A354" s="102"/>
      <c r="B354" s="78"/>
      <c r="C354" s="78"/>
      <c r="D354" s="78"/>
      <c r="E354" s="78"/>
      <c r="F354" s="78"/>
      <c r="H354" s="78"/>
      <c r="I354" s="78"/>
      <c r="J354" s="78"/>
      <c r="K354" s="78"/>
      <c r="L354" s="78"/>
      <c r="M354" s="78"/>
      <c r="N354" s="78"/>
      <c r="O354" s="78"/>
      <c r="P354" s="78"/>
      <c r="Q354" s="78"/>
      <c r="R354" s="78"/>
      <c r="S354" s="78"/>
      <c r="T354" s="78"/>
      <c r="U354" s="78"/>
      <c r="V354" s="78"/>
      <c r="W354" s="78"/>
      <c r="X354" s="78"/>
      <c r="Y354" s="78"/>
      <c r="Z354" s="78"/>
      <c r="AA354" s="78"/>
      <c r="AB354" s="78"/>
    </row>
    <row r="355" spans="1:28" s="79" customFormat="1" ht="12.6" customHeight="1" x14ac:dyDescent="0.3">
      <c r="A355" s="102"/>
      <c r="B355" s="78"/>
      <c r="C355" s="78"/>
      <c r="D355" s="78"/>
      <c r="E355" s="78"/>
      <c r="F355" s="78"/>
      <c r="H355" s="78"/>
      <c r="I355" s="78"/>
      <c r="J355" s="78"/>
      <c r="K355" s="78"/>
      <c r="L355" s="78"/>
      <c r="M355" s="78"/>
      <c r="N355" s="78"/>
      <c r="O355" s="78"/>
      <c r="P355" s="78"/>
      <c r="Q355" s="78"/>
      <c r="R355" s="78"/>
      <c r="S355" s="78"/>
      <c r="T355" s="78"/>
      <c r="U355" s="78"/>
      <c r="V355" s="78"/>
      <c r="W355" s="78"/>
      <c r="X355" s="78"/>
      <c r="Y355" s="78"/>
      <c r="Z355" s="78"/>
      <c r="AA355" s="78"/>
      <c r="AB355" s="78"/>
    </row>
    <row r="356" spans="1:28" s="79" customFormat="1" ht="12.6" customHeight="1" x14ac:dyDescent="0.3">
      <c r="A356" s="102"/>
      <c r="B356" s="78"/>
      <c r="C356" s="78"/>
      <c r="D356" s="78"/>
      <c r="E356" s="78"/>
      <c r="F356" s="78"/>
      <c r="H356" s="78"/>
      <c r="I356" s="78"/>
      <c r="J356" s="78"/>
      <c r="K356" s="78"/>
      <c r="L356" s="78"/>
      <c r="M356" s="78"/>
      <c r="N356" s="78"/>
      <c r="O356" s="78"/>
      <c r="P356" s="78"/>
      <c r="Q356" s="78"/>
      <c r="R356" s="78"/>
      <c r="S356" s="78"/>
      <c r="T356" s="78"/>
      <c r="U356" s="78"/>
      <c r="V356" s="78"/>
      <c r="W356" s="78"/>
      <c r="X356" s="78"/>
      <c r="Y356" s="78"/>
      <c r="Z356" s="78"/>
      <c r="AA356" s="78"/>
      <c r="AB356" s="78"/>
    </row>
    <row r="357" spans="1:28" s="79" customFormat="1" ht="12.6" customHeight="1" x14ac:dyDescent="0.3">
      <c r="A357" s="102"/>
      <c r="B357" s="78"/>
      <c r="C357" s="78"/>
      <c r="D357" s="78"/>
      <c r="E357" s="78"/>
      <c r="F357" s="78"/>
      <c r="H357" s="78"/>
      <c r="I357" s="78"/>
      <c r="J357" s="78"/>
      <c r="K357" s="78"/>
      <c r="L357" s="78"/>
      <c r="M357" s="78"/>
      <c r="N357" s="78"/>
      <c r="O357" s="78"/>
      <c r="P357" s="78"/>
      <c r="Q357" s="78"/>
      <c r="R357" s="78"/>
      <c r="S357" s="78"/>
      <c r="T357" s="78"/>
      <c r="U357" s="78"/>
      <c r="V357" s="78"/>
      <c r="W357" s="78"/>
      <c r="X357" s="78"/>
      <c r="Y357" s="78"/>
      <c r="Z357" s="78"/>
      <c r="AA357" s="78"/>
      <c r="AB357" s="78"/>
    </row>
    <row r="358" spans="1:28" s="79" customFormat="1" ht="12.6" customHeight="1" x14ac:dyDescent="0.3">
      <c r="A358" s="102"/>
      <c r="B358" s="78"/>
      <c r="C358" s="78"/>
      <c r="D358" s="78"/>
      <c r="E358" s="78"/>
      <c r="F358" s="78"/>
      <c r="H358" s="78"/>
      <c r="I358" s="78"/>
      <c r="J358" s="78"/>
      <c r="K358" s="78"/>
      <c r="L358" s="78"/>
      <c r="M358" s="78"/>
      <c r="N358" s="78"/>
      <c r="O358" s="78"/>
      <c r="P358" s="78"/>
      <c r="Q358" s="78"/>
      <c r="R358" s="78"/>
      <c r="S358" s="78"/>
      <c r="T358" s="78"/>
      <c r="U358" s="78"/>
      <c r="V358" s="78"/>
      <c r="W358" s="78"/>
      <c r="X358" s="78"/>
      <c r="Y358" s="78"/>
      <c r="Z358" s="78"/>
      <c r="AA358" s="78"/>
      <c r="AB358" s="78"/>
    </row>
    <row r="359" spans="1:28" s="79" customFormat="1" ht="12.6" customHeight="1" x14ac:dyDescent="0.3">
      <c r="A359" s="102"/>
      <c r="B359" s="78"/>
      <c r="C359" s="78"/>
      <c r="D359" s="78"/>
      <c r="E359" s="78"/>
      <c r="F359" s="78"/>
      <c r="H359" s="78"/>
      <c r="I359" s="78"/>
      <c r="J359" s="78"/>
      <c r="K359" s="78"/>
      <c r="L359" s="78"/>
      <c r="M359" s="78"/>
      <c r="N359" s="78"/>
      <c r="O359" s="78"/>
      <c r="P359" s="78"/>
      <c r="Q359" s="78"/>
      <c r="R359" s="78"/>
      <c r="S359" s="78"/>
      <c r="T359" s="78"/>
      <c r="U359" s="78"/>
      <c r="V359" s="78"/>
      <c r="W359" s="78"/>
      <c r="X359" s="78"/>
      <c r="Y359" s="78"/>
      <c r="Z359" s="78"/>
      <c r="AA359" s="78"/>
      <c r="AB359" s="78"/>
    </row>
    <row r="360" spans="1:28" s="79" customFormat="1" ht="12.6" customHeight="1" x14ac:dyDescent="0.3">
      <c r="A360" s="102"/>
      <c r="B360" s="78"/>
      <c r="C360" s="78"/>
      <c r="D360" s="78"/>
      <c r="E360" s="78"/>
      <c r="F360" s="78"/>
      <c r="H360" s="78"/>
      <c r="I360" s="78"/>
      <c r="J360" s="78"/>
      <c r="K360" s="78"/>
      <c r="L360" s="78"/>
      <c r="M360" s="78"/>
      <c r="N360" s="78"/>
      <c r="O360" s="78"/>
      <c r="P360" s="78"/>
      <c r="Q360" s="78"/>
      <c r="R360" s="78"/>
      <c r="S360" s="78"/>
      <c r="T360" s="78"/>
      <c r="U360" s="78"/>
      <c r="V360" s="78"/>
      <c r="W360" s="78"/>
      <c r="X360" s="78"/>
      <c r="Y360" s="78"/>
      <c r="Z360" s="78"/>
      <c r="AA360" s="78"/>
      <c r="AB360" s="78"/>
    </row>
    <row r="361" spans="1:28" s="79" customFormat="1" ht="12.6" customHeight="1" x14ac:dyDescent="0.3">
      <c r="A361" s="102"/>
      <c r="B361" s="78"/>
      <c r="C361" s="78"/>
      <c r="D361" s="78"/>
      <c r="E361" s="78"/>
      <c r="F361" s="78"/>
      <c r="H361" s="78"/>
      <c r="I361" s="78"/>
      <c r="J361" s="78"/>
      <c r="K361" s="78"/>
      <c r="L361" s="78"/>
      <c r="M361" s="78"/>
      <c r="N361" s="78"/>
      <c r="O361" s="78"/>
      <c r="P361" s="78"/>
      <c r="Q361" s="78"/>
      <c r="R361" s="78"/>
      <c r="S361" s="78"/>
      <c r="T361" s="78"/>
      <c r="U361" s="78"/>
      <c r="V361" s="78"/>
      <c r="W361" s="78"/>
      <c r="X361" s="78"/>
      <c r="Y361" s="78"/>
      <c r="Z361" s="78"/>
      <c r="AA361" s="78"/>
      <c r="AB361" s="78"/>
    </row>
    <row r="362" spans="1:28" s="79" customFormat="1" ht="12.6" customHeight="1" x14ac:dyDescent="0.3">
      <c r="A362" s="102"/>
      <c r="B362" s="78"/>
      <c r="C362" s="78"/>
      <c r="D362" s="78"/>
      <c r="E362" s="78"/>
      <c r="F362" s="78"/>
      <c r="H362" s="78"/>
      <c r="I362" s="78"/>
      <c r="J362" s="78"/>
      <c r="K362" s="78"/>
      <c r="L362" s="78"/>
      <c r="M362" s="78"/>
      <c r="N362" s="78"/>
      <c r="O362" s="78"/>
      <c r="P362" s="78"/>
      <c r="Q362" s="78"/>
      <c r="R362" s="78"/>
      <c r="S362" s="78"/>
      <c r="T362" s="78"/>
      <c r="U362" s="78"/>
      <c r="V362" s="78"/>
      <c r="W362" s="78"/>
      <c r="X362" s="78"/>
      <c r="Y362" s="78"/>
      <c r="Z362" s="78"/>
      <c r="AA362" s="78"/>
      <c r="AB362" s="78"/>
    </row>
    <row r="363" spans="1:28" s="79" customFormat="1" ht="12.6" customHeight="1" x14ac:dyDescent="0.3">
      <c r="A363" s="102"/>
      <c r="B363" s="78"/>
      <c r="C363" s="78"/>
      <c r="D363" s="78"/>
      <c r="E363" s="78"/>
      <c r="F363" s="78"/>
      <c r="H363" s="78"/>
      <c r="I363" s="78"/>
      <c r="J363" s="78"/>
      <c r="K363" s="78"/>
      <c r="L363" s="78"/>
      <c r="M363" s="78"/>
      <c r="N363" s="78"/>
      <c r="O363" s="78"/>
      <c r="P363" s="78"/>
      <c r="Q363" s="78"/>
      <c r="R363" s="78"/>
      <c r="S363" s="78"/>
      <c r="T363" s="78"/>
      <c r="U363" s="78"/>
      <c r="V363" s="78"/>
      <c r="W363" s="78"/>
      <c r="X363" s="78"/>
      <c r="Y363" s="78"/>
      <c r="Z363" s="78"/>
      <c r="AA363" s="78"/>
      <c r="AB363" s="78"/>
    </row>
    <row r="364" spans="1:28" s="79" customFormat="1" ht="12.6" customHeight="1" x14ac:dyDescent="0.3">
      <c r="A364" s="102"/>
      <c r="B364" s="78"/>
      <c r="C364" s="78"/>
      <c r="D364" s="78"/>
      <c r="E364" s="78"/>
      <c r="F364" s="78"/>
      <c r="H364" s="78"/>
      <c r="I364" s="78"/>
      <c r="J364" s="78"/>
      <c r="K364" s="78"/>
      <c r="L364" s="78"/>
      <c r="M364" s="78"/>
      <c r="N364" s="78"/>
      <c r="O364" s="78"/>
      <c r="P364" s="78"/>
      <c r="Q364" s="78"/>
      <c r="R364" s="78"/>
      <c r="S364" s="78"/>
      <c r="T364" s="78"/>
      <c r="U364" s="78"/>
      <c r="V364" s="78"/>
      <c r="W364" s="78"/>
      <c r="X364" s="78"/>
      <c r="Y364" s="78"/>
      <c r="Z364" s="78"/>
      <c r="AA364" s="78"/>
      <c r="AB364" s="78"/>
    </row>
    <row r="365" spans="1:28" s="79" customFormat="1" ht="12.6" customHeight="1" x14ac:dyDescent="0.3">
      <c r="A365" s="102"/>
      <c r="B365" s="78"/>
      <c r="C365" s="78"/>
      <c r="D365" s="78"/>
      <c r="E365" s="78"/>
      <c r="F365" s="78"/>
      <c r="H365" s="78"/>
      <c r="I365" s="78"/>
      <c r="J365" s="78"/>
      <c r="K365" s="78"/>
      <c r="L365" s="78"/>
      <c r="M365" s="78"/>
      <c r="N365" s="78"/>
      <c r="O365" s="78"/>
      <c r="P365" s="78"/>
      <c r="Q365" s="78"/>
      <c r="R365" s="78"/>
      <c r="S365" s="78"/>
      <c r="T365" s="78"/>
      <c r="U365" s="78"/>
      <c r="V365" s="78"/>
      <c r="W365" s="78"/>
      <c r="X365" s="78"/>
      <c r="Y365" s="78"/>
      <c r="Z365" s="78"/>
      <c r="AA365" s="78"/>
      <c r="AB365" s="78"/>
    </row>
    <row r="366" spans="1:28" s="79" customFormat="1" ht="12.6" customHeight="1" x14ac:dyDescent="0.3">
      <c r="A366" s="102"/>
      <c r="B366" s="78"/>
      <c r="C366" s="78"/>
      <c r="D366" s="78"/>
      <c r="E366" s="78"/>
      <c r="F366" s="78"/>
      <c r="H366" s="78"/>
      <c r="I366" s="78"/>
      <c r="J366" s="78"/>
      <c r="K366" s="78"/>
      <c r="L366" s="78"/>
      <c r="M366" s="78"/>
      <c r="N366" s="78"/>
      <c r="O366" s="78"/>
      <c r="P366" s="78"/>
      <c r="Q366" s="78"/>
      <c r="R366" s="78"/>
      <c r="S366" s="78"/>
      <c r="T366" s="78"/>
      <c r="U366" s="78"/>
      <c r="V366" s="78"/>
      <c r="W366" s="78"/>
      <c r="X366" s="78"/>
      <c r="Y366" s="78"/>
      <c r="Z366" s="78"/>
      <c r="AA366" s="78"/>
      <c r="AB366" s="78"/>
    </row>
    <row r="367" spans="1:28" s="79" customFormat="1" ht="12.6" customHeight="1" x14ac:dyDescent="0.3">
      <c r="A367" s="102"/>
      <c r="B367" s="78"/>
      <c r="C367" s="78"/>
      <c r="D367" s="78"/>
      <c r="E367" s="78"/>
      <c r="F367" s="78"/>
      <c r="H367" s="78"/>
      <c r="I367" s="78"/>
      <c r="J367" s="78"/>
      <c r="K367" s="78"/>
      <c r="L367" s="78"/>
      <c r="M367" s="78"/>
      <c r="N367" s="78"/>
      <c r="O367" s="78"/>
      <c r="P367" s="78"/>
      <c r="Q367" s="78"/>
      <c r="R367" s="78"/>
      <c r="S367" s="78"/>
      <c r="T367" s="78"/>
      <c r="U367" s="78"/>
      <c r="V367" s="78"/>
      <c r="W367" s="78"/>
      <c r="X367" s="78"/>
      <c r="Y367" s="78"/>
      <c r="Z367" s="78"/>
      <c r="AA367" s="78"/>
      <c r="AB367" s="78"/>
    </row>
    <row r="368" spans="1:28" s="79" customFormat="1" ht="12.6" customHeight="1" x14ac:dyDescent="0.3">
      <c r="A368" s="102"/>
      <c r="B368" s="78"/>
      <c r="C368" s="78"/>
      <c r="D368" s="78"/>
      <c r="E368" s="78"/>
      <c r="F368" s="78"/>
      <c r="H368" s="78"/>
      <c r="I368" s="78"/>
      <c r="J368" s="78"/>
      <c r="K368" s="78"/>
      <c r="L368" s="78"/>
      <c r="M368" s="78"/>
      <c r="N368" s="78"/>
      <c r="O368" s="78"/>
      <c r="P368" s="78"/>
      <c r="Q368" s="78"/>
      <c r="R368" s="78"/>
      <c r="S368" s="78"/>
      <c r="T368" s="78"/>
      <c r="U368" s="78"/>
      <c r="V368" s="78"/>
      <c r="W368" s="78"/>
      <c r="X368" s="78"/>
      <c r="Y368" s="78"/>
      <c r="Z368" s="78"/>
      <c r="AA368" s="78"/>
      <c r="AB368" s="78"/>
    </row>
    <row r="369" spans="1:28" s="79" customFormat="1" ht="12.6" customHeight="1" x14ac:dyDescent="0.3">
      <c r="A369" s="102"/>
      <c r="B369" s="78"/>
      <c r="C369" s="78"/>
      <c r="D369" s="78"/>
      <c r="E369" s="78"/>
      <c r="F369" s="78"/>
      <c r="H369" s="78"/>
      <c r="I369" s="78"/>
      <c r="J369" s="78"/>
      <c r="K369" s="78"/>
      <c r="L369" s="78"/>
      <c r="M369" s="78"/>
      <c r="N369" s="78"/>
      <c r="O369" s="78"/>
      <c r="P369" s="78"/>
      <c r="Q369" s="78"/>
      <c r="R369" s="78"/>
      <c r="S369" s="78"/>
      <c r="T369" s="78"/>
      <c r="U369" s="78"/>
      <c r="V369" s="78"/>
      <c r="W369" s="78"/>
      <c r="X369" s="78"/>
      <c r="Y369" s="78"/>
      <c r="Z369" s="78"/>
      <c r="AA369" s="78"/>
      <c r="AB369" s="78"/>
    </row>
    <row r="370" spans="1:28" s="79" customFormat="1" ht="12.6" customHeight="1" x14ac:dyDescent="0.3">
      <c r="A370" s="102"/>
      <c r="B370" s="78"/>
      <c r="C370" s="78"/>
      <c r="D370" s="78"/>
      <c r="E370" s="78"/>
      <c r="F370" s="78"/>
      <c r="H370" s="78"/>
      <c r="I370" s="78"/>
      <c r="J370" s="78"/>
      <c r="K370" s="78"/>
      <c r="L370" s="78"/>
      <c r="M370" s="78"/>
      <c r="N370" s="78"/>
      <c r="O370" s="78"/>
      <c r="P370" s="78"/>
      <c r="Q370" s="78"/>
      <c r="R370" s="78"/>
      <c r="S370" s="78"/>
      <c r="T370" s="78"/>
      <c r="U370" s="78"/>
      <c r="V370" s="78"/>
      <c r="W370" s="78"/>
      <c r="X370" s="78"/>
      <c r="Y370" s="78"/>
      <c r="Z370" s="78"/>
      <c r="AA370" s="78"/>
      <c r="AB370" s="78"/>
    </row>
    <row r="371" spans="1:28" s="79" customFormat="1" ht="12.6" customHeight="1" x14ac:dyDescent="0.3">
      <c r="A371" s="102"/>
      <c r="B371" s="78"/>
      <c r="C371" s="78"/>
      <c r="D371" s="78"/>
      <c r="E371" s="78"/>
      <c r="F371" s="78"/>
      <c r="H371" s="78"/>
      <c r="I371" s="78"/>
      <c r="J371" s="78"/>
      <c r="K371" s="78"/>
      <c r="L371" s="78"/>
      <c r="M371" s="78"/>
      <c r="N371" s="78"/>
      <c r="O371" s="78"/>
      <c r="P371" s="78"/>
      <c r="Q371" s="78"/>
      <c r="R371" s="78"/>
      <c r="S371" s="78"/>
      <c r="T371" s="78"/>
      <c r="U371" s="78"/>
      <c r="V371" s="78"/>
      <c r="W371" s="78"/>
      <c r="X371" s="78"/>
      <c r="Y371" s="78"/>
      <c r="Z371" s="78"/>
      <c r="AA371" s="78"/>
      <c r="AB371" s="78"/>
    </row>
    <row r="372" spans="1:28" s="79" customFormat="1" ht="12.6" customHeight="1" x14ac:dyDescent="0.3">
      <c r="A372" s="102"/>
      <c r="B372" s="78"/>
      <c r="C372" s="78"/>
      <c r="D372" s="78"/>
      <c r="E372" s="78"/>
      <c r="F372" s="78"/>
      <c r="H372" s="78"/>
      <c r="I372" s="78"/>
      <c r="J372" s="78"/>
      <c r="K372" s="78"/>
      <c r="L372" s="78"/>
      <c r="M372" s="78"/>
      <c r="N372" s="78"/>
      <c r="O372" s="78"/>
      <c r="P372" s="78"/>
      <c r="Q372" s="78"/>
      <c r="R372" s="78"/>
      <c r="S372" s="78"/>
      <c r="T372" s="78"/>
      <c r="U372" s="78"/>
      <c r="V372" s="78"/>
      <c r="W372" s="78"/>
      <c r="X372" s="78"/>
      <c r="Y372" s="78"/>
      <c r="Z372" s="78"/>
      <c r="AA372" s="78"/>
      <c r="AB372" s="78"/>
    </row>
    <row r="373" spans="1:28" s="79" customFormat="1" ht="12.6" customHeight="1" x14ac:dyDescent="0.3">
      <c r="A373" s="102"/>
      <c r="B373" s="78"/>
      <c r="C373" s="78"/>
      <c r="D373" s="78"/>
      <c r="E373" s="78"/>
      <c r="F373" s="78"/>
      <c r="H373" s="78"/>
      <c r="I373" s="78"/>
      <c r="J373" s="78"/>
      <c r="K373" s="78"/>
      <c r="L373" s="78"/>
      <c r="M373" s="78"/>
      <c r="N373" s="78"/>
      <c r="O373" s="78"/>
      <c r="P373" s="78"/>
      <c r="Q373" s="78"/>
      <c r="R373" s="78"/>
      <c r="S373" s="78"/>
      <c r="T373" s="78"/>
      <c r="U373" s="78"/>
      <c r="V373" s="78"/>
      <c r="W373" s="78"/>
      <c r="X373" s="78"/>
      <c r="Y373" s="78"/>
      <c r="Z373" s="78"/>
      <c r="AA373" s="78"/>
      <c r="AB373" s="78"/>
    </row>
    <row r="374" spans="1:28" s="79" customFormat="1" ht="12.6" customHeight="1" x14ac:dyDescent="0.3">
      <c r="A374" s="102"/>
      <c r="B374" s="78"/>
      <c r="C374" s="78"/>
      <c r="D374" s="78"/>
      <c r="E374" s="78"/>
      <c r="F374" s="78"/>
      <c r="H374" s="78"/>
      <c r="I374" s="78"/>
      <c r="J374" s="78"/>
      <c r="K374" s="78"/>
      <c r="L374" s="78"/>
      <c r="M374" s="78"/>
      <c r="N374" s="78"/>
      <c r="O374" s="78"/>
      <c r="P374" s="78"/>
      <c r="Q374" s="78"/>
      <c r="R374" s="78"/>
      <c r="S374" s="78"/>
      <c r="T374" s="78"/>
      <c r="U374" s="78"/>
      <c r="V374" s="78"/>
      <c r="W374" s="78"/>
      <c r="X374" s="78"/>
      <c r="Y374" s="78"/>
      <c r="Z374" s="78"/>
      <c r="AA374" s="78"/>
      <c r="AB374" s="78"/>
    </row>
    <row r="375" spans="1:28" s="79" customFormat="1" ht="12.6" customHeight="1" x14ac:dyDescent="0.3">
      <c r="A375" s="102"/>
      <c r="B375" s="78"/>
      <c r="C375" s="78"/>
      <c r="D375" s="78"/>
      <c r="E375" s="78"/>
      <c r="F375" s="78"/>
      <c r="H375" s="78"/>
      <c r="I375" s="78"/>
      <c r="J375" s="78"/>
      <c r="K375" s="78"/>
      <c r="L375" s="78"/>
      <c r="M375" s="78"/>
      <c r="N375" s="78"/>
      <c r="O375" s="78"/>
      <c r="P375" s="78"/>
      <c r="Q375" s="78"/>
      <c r="R375" s="78"/>
      <c r="S375" s="78"/>
      <c r="T375" s="78"/>
      <c r="U375" s="78"/>
      <c r="V375" s="78"/>
      <c r="W375" s="78"/>
      <c r="X375" s="78"/>
      <c r="Y375" s="78"/>
      <c r="Z375" s="78"/>
      <c r="AA375" s="78"/>
      <c r="AB375" s="78"/>
    </row>
    <row r="376" spans="1:28" s="79" customFormat="1" ht="12.6" customHeight="1" x14ac:dyDescent="0.3">
      <c r="A376" s="102"/>
      <c r="B376" s="78"/>
      <c r="C376" s="78"/>
      <c r="D376" s="78"/>
      <c r="E376" s="78"/>
      <c r="F376" s="78"/>
      <c r="H376" s="78"/>
      <c r="I376" s="78"/>
      <c r="J376" s="78"/>
      <c r="K376" s="78"/>
      <c r="L376" s="78"/>
      <c r="M376" s="78"/>
      <c r="N376" s="78"/>
      <c r="O376" s="78"/>
      <c r="P376" s="78"/>
      <c r="Q376" s="78"/>
      <c r="R376" s="78"/>
      <c r="S376" s="78"/>
      <c r="T376" s="78"/>
      <c r="U376" s="78"/>
      <c r="V376" s="78"/>
      <c r="W376" s="78"/>
      <c r="X376" s="78"/>
      <c r="Y376" s="78"/>
      <c r="Z376" s="78"/>
      <c r="AA376" s="78"/>
      <c r="AB376" s="78"/>
    </row>
    <row r="377" spans="1:28" s="79" customFormat="1" ht="12.6" customHeight="1" x14ac:dyDescent="0.3">
      <c r="A377" s="102"/>
      <c r="B377" s="78"/>
      <c r="C377" s="78"/>
      <c r="D377" s="78"/>
      <c r="E377" s="78"/>
      <c r="F377" s="78"/>
      <c r="H377" s="78"/>
      <c r="I377" s="78"/>
      <c r="J377" s="78"/>
      <c r="K377" s="78"/>
      <c r="L377" s="78"/>
      <c r="M377" s="78"/>
      <c r="N377" s="78"/>
      <c r="O377" s="78"/>
      <c r="P377" s="78"/>
      <c r="Q377" s="78"/>
      <c r="R377" s="78"/>
      <c r="S377" s="78"/>
      <c r="T377" s="78"/>
      <c r="U377" s="78"/>
      <c r="V377" s="78"/>
      <c r="W377" s="78"/>
      <c r="X377" s="78"/>
      <c r="Y377" s="78"/>
      <c r="Z377" s="78"/>
      <c r="AA377" s="78"/>
      <c r="AB377" s="78"/>
    </row>
    <row r="378" spans="1:28" s="79" customFormat="1" ht="12.6" customHeight="1" x14ac:dyDescent="0.3">
      <c r="A378" s="102"/>
      <c r="B378" s="78"/>
      <c r="C378" s="78"/>
      <c r="D378" s="78"/>
      <c r="E378" s="78"/>
      <c r="F378" s="78"/>
      <c r="H378" s="78"/>
      <c r="I378" s="78"/>
      <c r="J378" s="78"/>
      <c r="K378" s="78"/>
      <c r="L378" s="78"/>
      <c r="M378" s="78"/>
      <c r="N378" s="78"/>
      <c r="O378" s="78"/>
      <c r="P378" s="78"/>
      <c r="Q378" s="78"/>
      <c r="R378" s="78"/>
      <c r="S378" s="78"/>
      <c r="T378" s="78"/>
      <c r="U378" s="78"/>
      <c r="V378" s="78"/>
      <c r="W378" s="78"/>
      <c r="X378" s="78"/>
      <c r="Y378" s="78"/>
      <c r="Z378" s="78"/>
      <c r="AA378" s="78"/>
      <c r="AB378" s="78"/>
    </row>
    <row r="379" spans="1:28" s="79" customFormat="1" ht="12.6" customHeight="1" x14ac:dyDescent="0.3">
      <c r="A379" s="102"/>
      <c r="B379" s="78"/>
      <c r="C379" s="78"/>
      <c r="D379" s="78"/>
      <c r="E379" s="78"/>
      <c r="F379" s="78"/>
      <c r="H379" s="78"/>
      <c r="I379" s="78"/>
      <c r="J379" s="78"/>
      <c r="K379" s="78"/>
      <c r="L379" s="78"/>
      <c r="M379" s="78"/>
      <c r="N379" s="78"/>
      <c r="O379" s="78"/>
      <c r="P379" s="78"/>
      <c r="Q379" s="78"/>
      <c r="R379" s="78"/>
      <c r="S379" s="78"/>
      <c r="T379" s="78"/>
      <c r="U379" s="78"/>
      <c r="V379" s="78"/>
      <c r="W379" s="78"/>
      <c r="X379" s="78"/>
      <c r="Y379" s="78"/>
      <c r="Z379" s="78"/>
      <c r="AA379" s="78"/>
      <c r="AB379" s="78"/>
    </row>
    <row r="380" spans="1:28" s="79" customFormat="1" ht="12.6" customHeight="1" x14ac:dyDescent="0.3">
      <c r="A380" s="102"/>
      <c r="B380" s="78"/>
      <c r="C380" s="78"/>
      <c r="D380" s="78"/>
      <c r="E380" s="78"/>
      <c r="F380" s="78"/>
      <c r="H380" s="78"/>
      <c r="I380" s="78"/>
      <c r="J380" s="78"/>
      <c r="K380" s="78"/>
      <c r="L380" s="78"/>
      <c r="M380" s="78"/>
      <c r="N380" s="78"/>
      <c r="O380" s="78"/>
      <c r="P380" s="78"/>
      <c r="Q380" s="78"/>
      <c r="R380" s="78"/>
      <c r="S380" s="78"/>
      <c r="T380" s="78"/>
      <c r="U380" s="78"/>
      <c r="V380" s="78"/>
      <c r="W380" s="78"/>
      <c r="X380" s="78"/>
      <c r="Y380" s="78"/>
      <c r="Z380" s="78"/>
      <c r="AA380" s="78"/>
      <c r="AB380" s="78"/>
    </row>
    <row r="381" spans="1:28" s="79" customFormat="1" ht="12.6" customHeight="1" x14ac:dyDescent="0.3">
      <c r="A381" s="102"/>
      <c r="B381" s="78"/>
      <c r="C381" s="78"/>
      <c r="D381" s="78"/>
      <c r="E381" s="78"/>
      <c r="F381" s="78"/>
      <c r="H381" s="78"/>
      <c r="I381" s="78"/>
      <c r="J381" s="78"/>
      <c r="K381" s="78"/>
      <c r="L381" s="78"/>
      <c r="M381" s="78"/>
      <c r="N381" s="78"/>
      <c r="O381" s="78"/>
      <c r="P381" s="78"/>
      <c r="Q381" s="78"/>
      <c r="R381" s="78"/>
      <c r="S381" s="78"/>
      <c r="T381" s="78"/>
      <c r="U381" s="78"/>
      <c r="V381" s="78"/>
      <c r="W381" s="78"/>
      <c r="X381" s="78"/>
      <c r="Y381" s="78"/>
      <c r="Z381" s="78"/>
      <c r="AA381" s="78"/>
      <c r="AB381" s="78"/>
    </row>
    <row r="382" spans="1:28" s="79" customFormat="1" ht="12.6" customHeight="1" x14ac:dyDescent="0.3">
      <c r="A382" s="102"/>
      <c r="B382" s="78"/>
      <c r="C382" s="78"/>
      <c r="D382" s="78"/>
      <c r="E382" s="78"/>
      <c r="F382" s="78"/>
      <c r="H382" s="78"/>
      <c r="I382" s="78"/>
      <c r="J382" s="78"/>
      <c r="K382" s="78"/>
      <c r="L382" s="78"/>
      <c r="M382" s="78"/>
      <c r="N382" s="78"/>
      <c r="O382" s="78"/>
      <c r="P382" s="78"/>
      <c r="Q382" s="78"/>
      <c r="R382" s="78"/>
      <c r="S382" s="78"/>
      <c r="T382" s="78"/>
      <c r="U382" s="78"/>
      <c r="V382" s="78"/>
      <c r="W382" s="78"/>
      <c r="X382" s="78"/>
      <c r="Y382" s="78"/>
      <c r="Z382" s="78"/>
      <c r="AA382" s="78"/>
      <c r="AB382" s="78"/>
    </row>
    <row r="383" spans="1:28" s="79" customFormat="1" ht="12.6" customHeight="1" x14ac:dyDescent="0.3">
      <c r="A383" s="102"/>
      <c r="B383" s="78"/>
      <c r="C383" s="78"/>
      <c r="D383" s="78"/>
      <c r="E383" s="78"/>
      <c r="F383" s="78"/>
      <c r="H383" s="78"/>
      <c r="I383" s="78"/>
      <c r="J383" s="78"/>
      <c r="K383" s="78"/>
      <c r="L383" s="78"/>
      <c r="M383" s="78"/>
      <c r="N383" s="78"/>
      <c r="O383" s="78"/>
      <c r="P383" s="78"/>
      <c r="Q383" s="78"/>
      <c r="R383" s="78"/>
      <c r="S383" s="78"/>
      <c r="T383" s="78"/>
      <c r="U383" s="78"/>
      <c r="V383" s="78"/>
      <c r="W383" s="78"/>
      <c r="X383" s="78"/>
      <c r="Y383" s="78"/>
      <c r="Z383" s="78"/>
      <c r="AA383" s="78"/>
      <c r="AB383" s="78"/>
    </row>
    <row r="384" spans="1:28" s="79" customFormat="1" ht="12.6" customHeight="1" x14ac:dyDescent="0.3">
      <c r="A384" s="102"/>
      <c r="B384" s="78"/>
      <c r="C384" s="78"/>
      <c r="D384" s="78"/>
      <c r="E384" s="78"/>
      <c r="F384" s="78"/>
      <c r="H384" s="78"/>
      <c r="I384" s="78"/>
      <c r="J384" s="78"/>
      <c r="K384" s="78"/>
      <c r="L384" s="78"/>
      <c r="M384" s="78"/>
      <c r="N384" s="78"/>
      <c r="O384" s="78"/>
      <c r="P384" s="78"/>
      <c r="Q384" s="78"/>
      <c r="R384" s="78"/>
      <c r="S384" s="78"/>
      <c r="T384" s="78"/>
      <c r="U384" s="78"/>
      <c r="V384" s="78"/>
      <c r="W384" s="78"/>
      <c r="X384" s="78"/>
      <c r="Y384" s="78"/>
      <c r="Z384" s="78"/>
      <c r="AA384" s="78"/>
      <c r="AB384" s="78"/>
    </row>
    <row r="385" spans="1:28" s="79" customFormat="1" ht="12.6" customHeight="1" x14ac:dyDescent="0.3">
      <c r="A385" s="102"/>
      <c r="B385" s="78"/>
      <c r="C385" s="78"/>
      <c r="D385" s="78"/>
      <c r="E385" s="78"/>
      <c r="F385" s="78"/>
      <c r="H385" s="78"/>
      <c r="I385" s="78"/>
      <c r="J385" s="78"/>
      <c r="K385" s="78"/>
      <c r="L385" s="78"/>
      <c r="M385" s="78"/>
      <c r="N385" s="78"/>
      <c r="O385" s="78"/>
      <c r="P385" s="78"/>
      <c r="Q385" s="78"/>
      <c r="R385" s="78"/>
      <c r="S385" s="78"/>
      <c r="T385" s="78"/>
      <c r="U385" s="78"/>
      <c r="V385" s="78"/>
      <c r="W385" s="78"/>
      <c r="X385" s="78"/>
      <c r="Y385" s="78"/>
      <c r="Z385" s="78"/>
      <c r="AA385" s="78"/>
      <c r="AB385" s="78"/>
    </row>
    <row r="386" spans="1:28" s="79" customFormat="1" ht="12.6" customHeight="1" x14ac:dyDescent="0.3">
      <c r="A386" s="102"/>
      <c r="B386" s="78"/>
      <c r="C386" s="78"/>
      <c r="D386" s="78"/>
      <c r="E386" s="78"/>
      <c r="F386" s="78"/>
      <c r="H386" s="78"/>
      <c r="I386" s="78"/>
      <c r="J386" s="78"/>
      <c r="K386" s="78"/>
      <c r="L386" s="78"/>
      <c r="M386" s="78"/>
      <c r="N386" s="78"/>
      <c r="O386" s="78"/>
      <c r="P386" s="78"/>
      <c r="Q386" s="78"/>
      <c r="R386" s="78"/>
      <c r="S386" s="78"/>
      <c r="T386" s="78"/>
      <c r="U386" s="78"/>
      <c r="V386" s="78"/>
      <c r="W386" s="78"/>
      <c r="X386" s="78"/>
      <c r="Y386" s="78"/>
      <c r="Z386" s="78"/>
      <c r="AA386" s="78"/>
      <c r="AB386" s="78"/>
    </row>
    <row r="387" spans="1:28" s="79" customFormat="1" ht="12.6" customHeight="1" x14ac:dyDescent="0.3">
      <c r="A387" s="102"/>
      <c r="B387" s="78"/>
      <c r="C387" s="78"/>
      <c r="D387" s="78"/>
      <c r="E387" s="78"/>
      <c r="F387" s="78"/>
      <c r="H387" s="78"/>
      <c r="I387" s="78"/>
      <c r="J387" s="78"/>
      <c r="K387" s="78"/>
      <c r="L387" s="78"/>
      <c r="M387" s="78"/>
      <c r="N387" s="78"/>
      <c r="O387" s="78"/>
      <c r="P387" s="78"/>
      <c r="Q387" s="78"/>
      <c r="R387" s="78"/>
      <c r="S387" s="78"/>
      <c r="T387" s="78"/>
      <c r="U387" s="78"/>
      <c r="V387" s="78"/>
      <c r="W387" s="78"/>
      <c r="X387" s="78"/>
      <c r="Y387" s="78"/>
      <c r="Z387" s="78"/>
      <c r="AA387" s="78"/>
      <c r="AB387" s="78"/>
    </row>
    <row r="388" spans="1:28" s="79" customFormat="1" ht="12.6" customHeight="1" x14ac:dyDescent="0.3">
      <c r="A388" s="102"/>
      <c r="B388" s="78"/>
      <c r="C388" s="78"/>
      <c r="D388" s="78"/>
      <c r="E388" s="78"/>
      <c r="F388" s="78"/>
      <c r="H388" s="78"/>
      <c r="I388" s="78"/>
      <c r="J388" s="78"/>
      <c r="K388" s="78"/>
      <c r="L388" s="78"/>
      <c r="M388" s="78"/>
      <c r="N388" s="78"/>
      <c r="O388" s="78"/>
      <c r="P388" s="78"/>
      <c r="Q388" s="78"/>
      <c r="R388" s="78"/>
      <c r="S388" s="78"/>
      <c r="T388" s="78"/>
      <c r="U388" s="78"/>
      <c r="V388" s="78"/>
      <c r="W388" s="78"/>
      <c r="X388" s="78"/>
      <c r="Y388" s="78"/>
      <c r="Z388" s="78"/>
      <c r="AA388" s="78"/>
      <c r="AB388" s="78"/>
    </row>
    <row r="389" spans="1:28" s="79" customFormat="1" ht="12.6" customHeight="1" x14ac:dyDescent="0.3">
      <c r="A389" s="102"/>
      <c r="B389" s="78"/>
      <c r="C389" s="78"/>
      <c r="D389" s="78"/>
      <c r="E389" s="78"/>
      <c r="F389" s="78"/>
      <c r="H389" s="78"/>
      <c r="I389" s="78"/>
      <c r="J389" s="78"/>
      <c r="K389" s="78"/>
      <c r="L389" s="78"/>
      <c r="M389" s="78"/>
      <c r="N389" s="78"/>
      <c r="O389" s="78"/>
      <c r="P389" s="78"/>
      <c r="Q389" s="78"/>
      <c r="R389" s="78"/>
      <c r="S389" s="78"/>
      <c r="T389" s="78"/>
      <c r="U389" s="78"/>
      <c r="V389" s="78"/>
      <c r="W389" s="78"/>
      <c r="X389" s="78"/>
      <c r="Y389" s="78"/>
      <c r="Z389" s="78"/>
      <c r="AA389" s="78"/>
      <c r="AB389" s="78"/>
    </row>
    <row r="390" spans="1:28" s="79" customFormat="1" ht="12.6" customHeight="1" x14ac:dyDescent="0.3">
      <c r="A390" s="102"/>
      <c r="B390" s="78"/>
      <c r="C390" s="78"/>
      <c r="D390" s="78"/>
      <c r="E390" s="78"/>
      <c r="F390" s="78"/>
      <c r="H390" s="78"/>
      <c r="I390" s="78"/>
      <c r="J390" s="78"/>
      <c r="K390" s="78"/>
      <c r="L390" s="78"/>
      <c r="M390" s="78"/>
      <c r="N390" s="78"/>
      <c r="O390" s="78"/>
      <c r="P390" s="78"/>
      <c r="Q390" s="78"/>
      <c r="R390" s="78"/>
      <c r="S390" s="78"/>
      <c r="T390" s="78"/>
      <c r="U390" s="78"/>
      <c r="V390" s="78"/>
      <c r="W390" s="78"/>
      <c r="X390" s="78"/>
      <c r="Y390" s="78"/>
      <c r="Z390" s="78"/>
      <c r="AA390" s="78"/>
      <c r="AB390" s="78"/>
    </row>
    <row r="391" spans="1:28" s="79" customFormat="1" ht="12.6" customHeight="1" x14ac:dyDescent="0.3">
      <c r="A391" s="102"/>
      <c r="B391" s="78"/>
      <c r="C391" s="78"/>
      <c r="D391" s="78"/>
      <c r="E391" s="78"/>
      <c r="F391" s="78"/>
      <c r="H391" s="78"/>
      <c r="I391" s="78"/>
      <c r="J391" s="78"/>
      <c r="K391" s="78"/>
      <c r="L391" s="78"/>
      <c r="M391" s="78"/>
      <c r="N391" s="78"/>
      <c r="O391" s="78"/>
      <c r="P391" s="78"/>
      <c r="Q391" s="78"/>
      <c r="R391" s="78"/>
      <c r="S391" s="78"/>
      <c r="T391" s="78"/>
      <c r="U391" s="78"/>
      <c r="V391" s="78"/>
      <c r="W391" s="78"/>
      <c r="X391" s="78"/>
      <c r="Y391" s="78"/>
      <c r="Z391" s="78"/>
      <c r="AA391" s="78"/>
      <c r="AB391" s="78"/>
    </row>
    <row r="392" spans="1:28" s="79" customFormat="1" ht="12.6" customHeight="1" x14ac:dyDescent="0.3">
      <c r="A392" s="102"/>
      <c r="B392" s="78"/>
      <c r="C392" s="78"/>
      <c r="D392" s="78"/>
      <c r="E392" s="78"/>
      <c r="F392" s="78"/>
      <c r="H392" s="78"/>
      <c r="I392" s="78"/>
      <c r="J392" s="78"/>
      <c r="K392" s="78"/>
      <c r="L392" s="78"/>
      <c r="M392" s="78"/>
      <c r="N392" s="78"/>
      <c r="O392" s="78"/>
      <c r="P392" s="78"/>
      <c r="Q392" s="78"/>
      <c r="R392" s="78"/>
      <c r="S392" s="78"/>
      <c r="T392" s="78"/>
      <c r="U392" s="78"/>
      <c r="V392" s="78"/>
      <c r="W392" s="78"/>
      <c r="X392" s="78"/>
      <c r="Y392" s="78"/>
      <c r="Z392" s="78"/>
      <c r="AA392" s="78"/>
      <c r="AB392" s="78"/>
    </row>
    <row r="393" spans="1:28" s="79" customFormat="1" ht="12.6" customHeight="1" x14ac:dyDescent="0.3">
      <c r="A393" s="102"/>
      <c r="B393" s="78"/>
      <c r="C393" s="78"/>
      <c r="D393" s="78"/>
      <c r="E393" s="78"/>
      <c r="F393" s="78"/>
      <c r="H393" s="78"/>
      <c r="I393" s="78"/>
      <c r="J393" s="78"/>
      <c r="K393" s="78"/>
      <c r="L393" s="78"/>
      <c r="M393" s="78"/>
      <c r="N393" s="78"/>
      <c r="O393" s="78"/>
      <c r="P393" s="78"/>
      <c r="Q393" s="78"/>
      <c r="R393" s="78"/>
      <c r="S393" s="78"/>
      <c r="T393" s="78"/>
      <c r="U393" s="78"/>
      <c r="V393" s="78"/>
      <c r="W393" s="78"/>
      <c r="X393" s="78"/>
      <c r="Y393" s="78"/>
      <c r="Z393" s="78"/>
      <c r="AA393" s="78"/>
      <c r="AB393" s="78"/>
    </row>
    <row r="394" spans="1:28" s="79" customFormat="1" ht="12.6" customHeight="1" x14ac:dyDescent="0.3">
      <c r="A394" s="102"/>
      <c r="B394" s="78"/>
      <c r="C394" s="78"/>
      <c r="D394" s="78"/>
      <c r="E394" s="78"/>
      <c r="F394" s="78"/>
      <c r="H394" s="78"/>
      <c r="I394" s="78"/>
      <c r="J394" s="78"/>
      <c r="K394" s="78"/>
      <c r="L394" s="78"/>
      <c r="M394" s="78"/>
      <c r="N394" s="78"/>
      <c r="O394" s="78"/>
      <c r="P394" s="78"/>
      <c r="Q394" s="78"/>
      <c r="R394" s="78"/>
      <c r="S394" s="78"/>
      <c r="T394" s="78"/>
      <c r="U394" s="78"/>
      <c r="V394" s="78"/>
      <c r="W394" s="78"/>
      <c r="X394" s="78"/>
      <c r="Y394" s="78"/>
      <c r="Z394" s="78"/>
      <c r="AA394" s="78"/>
      <c r="AB394" s="78"/>
    </row>
    <row r="395" spans="1:28" s="79" customFormat="1" ht="12.6" customHeight="1" x14ac:dyDescent="0.3">
      <c r="A395" s="102"/>
      <c r="B395" s="78"/>
      <c r="C395" s="78"/>
      <c r="D395" s="78"/>
      <c r="E395" s="78"/>
      <c r="F395" s="78"/>
      <c r="H395" s="78"/>
      <c r="I395" s="78"/>
      <c r="J395" s="78"/>
      <c r="K395" s="78"/>
      <c r="L395" s="78"/>
      <c r="M395" s="78"/>
      <c r="N395" s="78"/>
      <c r="O395" s="78"/>
      <c r="P395" s="78"/>
      <c r="Q395" s="78"/>
      <c r="R395" s="78"/>
      <c r="S395" s="78"/>
      <c r="T395" s="78"/>
      <c r="U395" s="78"/>
      <c r="V395" s="78"/>
      <c r="W395" s="78"/>
      <c r="X395" s="78"/>
      <c r="Y395" s="78"/>
      <c r="Z395" s="78"/>
      <c r="AA395" s="78"/>
      <c r="AB395" s="78"/>
    </row>
    <row r="396" spans="1:28" s="79" customFormat="1" ht="12.6" customHeight="1" x14ac:dyDescent="0.3">
      <c r="A396" s="102"/>
      <c r="B396" s="78"/>
      <c r="C396" s="78"/>
      <c r="D396" s="78"/>
      <c r="E396" s="78"/>
      <c r="F396" s="78"/>
      <c r="H396" s="78"/>
      <c r="I396" s="78"/>
      <c r="J396" s="78"/>
      <c r="K396" s="78"/>
      <c r="L396" s="78"/>
      <c r="M396" s="78"/>
      <c r="N396" s="78"/>
      <c r="O396" s="78"/>
      <c r="P396" s="78"/>
      <c r="Q396" s="78"/>
      <c r="R396" s="78"/>
      <c r="S396" s="78"/>
      <c r="T396" s="78"/>
      <c r="U396" s="78"/>
      <c r="V396" s="78"/>
      <c r="W396" s="78"/>
      <c r="X396" s="78"/>
      <c r="Y396" s="78"/>
      <c r="Z396" s="78"/>
      <c r="AA396" s="78"/>
      <c r="AB396" s="78"/>
    </row>
    <row r="397" spans="1:28" s="79" customFormat="1" ht="12.6" customHeight="1" x14ac:dyDescent="0.3">
      <c r="A397" s="102"/>
      <c r="B397" s="78"/>
      <c r="C397" s="78"/>
      <c r="D397" s="78"/>
      <c r="E397" s="78"/>
      <c r="F397" s="78"/>
      <c r="H397" s="78"/>
      <c r="I397" s="78"/>
      <c r="J397" s="78"/>
      <c r="K397" s="78"/>
      <c r="L397" s="78"/>
      <c r="M397" s="78"/>
      <c r="N397" s="78"/>
      <c r="O397" s="78"/>
      <c r="P397" s="78"/>
      <c r="Q397" s="78"/>
      <c r="R397" s="78"/>
      <c r="S397" s="78"/>
      <c r="T397" s="78"/>
      <c r="U397" s="78"/>
      <c r="V397" s="78"/>
      <c r="W397" s="78"/>
      <c r="X397" s="78"/>
      <c r="Y397" s="78"/>
      <c r="Z397" s="78"/>
      <c r="AA397" s="78"/>
      <c r="AB397" s="78"/>
    </row>
    <row r="398" spans="1:28" s="79" customFormat="1" ht="12.6" customHeight="1" x14ac:dyDescent="0.3">
      <c r="A398" s="102"/>
      <c r="B398" s="78"/>
      <c r="C398" s="78"/>
      <c r="D398" s="78"/>
      <c r="E398" s="78"/>
      <c r="F398" s="78"/>
      <c r="H398" s="78"/>
      <c r="I398" s="78"/>
      <c r="J398" s="78"/>
      <c r="K398" s="78"/>
      <c r="L398" s="78"/>
      <c r="M398" s="78"/>
      <c r="N398" s="78"/>
      <c r="O398" s="78"/>
      <c r="P398" s="78"/>
      <c r="Q398" s="78"/>
      <c r="R398" s="78"/>
      <c r="S398" s="78"/>
      <c r="T398" s="78"/>
      <c r="U398" s="78"/>
      <c r="V398" s="78"/>
      <c r="W398" s="78"/>
      <c r="X398" s="78"/>
      <c r="Y398" s="78"/>
      <c r="Z398" s="78"/>
      <c r="AA398" s="78"/>
      <c r="AB398" s="78"/>
    </row>
    <row r="399" spans="1:28" s="79" customFormat="1" ht="12.6" customHeight="1" x14ac:dyDescent="0.3">
      <c r="A399" s="102"/>
      <c r="B399" s="78"/>
      <c r="C399" s="78"/>
      <c r="D399" s="78"/>
      <c r="E399" s="78"/>
      <c r="F399" s="78"/>
      <c r="H399" s="78"/>
      <c r="I399" s="78"/>
      <c r="J399" s="78"/>
      <c r="K399" s="78"/>
      <c r="L399" s="78"/>
      <c r="M399" s="78"/>
      <c r="N399" s="78"/>
      <c r="O399" s="78"/>
      <c r="P399" s="78"/>
      <c r="Q399" s="78"/>
      <c r="R399" s="78"/>
      <c r="S399" s="78"/>
      <c r="T399" s="78"/>
      <c r="U399" s="78"/>
      <c r="V399" s="78"/>
      <c r="W399" s="78"/>
      <c r="X399" s="78"/>
      <c r="Y399" s="78"/>
      <c r="Z399" s="78"/>
      <c r="AA399" s="78"/>
      <c r="AB399" s="78"/>
    </row>
    <row r="400" spans="1:28" s="79" customFormat="1" ht="12.6" customHeight="1" x14ac:dyDescent="0.3">
      <c r="A400" s="102"/>
      <c r="B400" s="78"/>
      <c r="C400" s="78"/>
      <c r="D400" s="78"/>
      <c r="E400" s="78"/>
      <c r="F400" s="78"/>
      <c r="H400" s="78"/>
      <c r="I400" s="78"/>
      <c r="J400" s="78"/>
      <c r="K400" s="78"/>
      <c r="L400" s="78"/>
      <c r="M400" s="78"/>
      <c r="N400" s="78"/>
      <c r="O400" s="78"/>
      <c r="P400" s="78"/>
      <c r="Q400" s="78"/>
      <c r="R400" s="78"/>
      <c r="S400" s="78"/>
      <c r="T400" s="78"/>
      <c r="U400" s="78"/>
      <c r="V400" s="78"/>
      <c r="W400" s="78"/>
      <c r="X400" s="78"/>
      <c r="Y400" s="78"/>
      <c r="Z400" s="78"/>
      <c r="AA400" s="78"/>
      <c r="AB400" s="78"/>
    </row>
    <row r="401" spans="1:28" s="79" customFormat="1" ht="12.6" customHeight="1" x14ac:dyDescent="0.3">
      <c r="A401" s="102"/>
      <c r="B401" s="78"/>
      <c r="C401" s="78"/>
      <c r="D401" s="78"/>
      <c r="E401" s="78"/>
      <c r="F401" s="78"/>
      <c r="H401" s="78"/>
      <c r="I401" s="78"/>
      <c r="J401" s="78"/>
      <c r="K401" s="78"/>
      <c r="L401" s="78"/>
      <c r="M401" s="78"/>
      <c r="N401" s="78"/>
      <c r="O401" s="78"/>
      <c r="P401" s="78"/>
      <c r="Q401" s="78"/>
      <c r="R401" s="78"/>
      <c r="S401" s="78"/>
      <c r="T401" s="78"/>
      <c r="U401" s="78"/>
      <c r="V401" s="78"/>
      <c r="W401" s="78"/>
      <c r="X401" s="78"/>
      <c r="Y401" s="78"/>
      <c r="Z401" s="78"/>
      <c r="AA401" s="78"/>
      <c r="AB401" s="78"/>
    </row>
    <row r="402" spans="1:28" s="79" customFormat="1" ht="12.6" customHeight="1" x14ac:dyDescent="0.3">
      <c r="A402" s="102"/>
      <c r="B402" s="78"/>
      <c r="C402" s="78"/>
      <c r="D402" s="78"/>
      <c r="E402" s="78"/>
      <c r="F402" s="78"/>
      <c r="H402" s="78"/>
      <c r="I402" s="78"/>
      <c r="J402" s="78"/>
      <c r="K402" s="78"/>
      <c r="L402" s="78"/>
      <c r="M402" s="78"/>
      <c r="N402" s="78"/>
      <c r="O402" s="78"/>
      <c r="P402" s="78"/>
      <c r="Q402" s="78"/>
      <c r="R402" s="78"/>
      <c r="S402" s="78"/>
      <c r="T402" s="78"/>
      <c r="U402" s="78"/>
      <c r="V402" s="78"/>
      <c r="W402" s="78"/>
      <c r="X402" s="78"/>
      <c r="Y402" s="78"/>
      <c r="Z402" s="78"/>
      <c r="AA402" s="78"/>
      <c r="AB402" s="78"/>
    </row>
    <row r="403" spans="1:28" s="79" customFormat="1" ht="12.6" customHeight="1" x14ac:dyDescent="0.3">
      <c r="A403" s="102"/>
      <c r="B403" s="78"/>
      <c r="C403" s="78"/>
      <c r="D403" s="78"/>
      <c r="E403" s="78"/>
      <c r="F403" s="78"/>
      <c r="H403" s="78"/>
      <c r="I403" s="78"/>
      <c r="J403" s="78"/>
      <c r="K403" s="78"/>
      <c r="L403" s="78"/>
      <c r="M403" s="78"/>
      <c r="N403" s="78"/>
      <c r="O403" s="78"/>
      <c r="P403" s="78"/>
      <c r="Q403" s="78"/>
      <c r="R403" s="78"/>
      <c r="S403" s="78"/>
      <c r="T403" s="78"/>
      <c r="U403" s="78"/>
      <c r="V403" s="78"/>
      <c r="W403" s="78"/>
      <c r="X403" s="78"/>
      <c r="Y403" s="78"/>
      <c r="Z403" s="78"/>
      <c r="AA403" s="78"/>
      <c r="AB403" s="78"/>
    </row>
    <row r="404" spans="1:28" s="79" customFormat="1" ht="12.6" customHeight="1" x14ac:dyDescent="0.3">
      <c r="A404" s="102"/>
      <c r="B404" s="78"/>
      <c r="C404" s="78"/>
      <c r="D404" s="78"/>
      <c r="E404" s="78"/>
      <c r="F404" s="78"/>
      <c r="H404" s="78"/>
      <c r="I404" s="78"/>
      <c r="J404" s="78"/>
      <c r="K404" s="78"/>
      <c r="L404" s="78"/>
      <c r="M404" s="78"/>
      <c r="N404" s="78"/>
      <c r="O404" s="78"/>
      <c r="P404" s="78"/>
      <c r="Q404" s="78"/>
      <c r="R404" s="78"/>
      <c r="S404" s="78"/>
      <c r="T404" s="78"/>
      <c r="U404" s="78"/>
      <c r="V404" s="78"/>
      <c r="W404" s="78"/>
      <c r="X404" s="78"/>
      <c r="Y404" s="78"/>
      <c r="Z404" s="78"/>
      <c r="AA404" s="78"/>
      <c r="AB404" s="78"/>
    </row>
    <row r="405" spans="1:28" s="79" customFormat="1" ht="12.6" customHeight="1" x14ac:dyDescent="0.3">
      <c r="A405" s="102"/>
      <c r="B405" s="78"/>
      <c r="C405" s="78"/>
      <c r="D405" s="78"/>
      <c r="E405" s="78"/>
      <c r="F405" s="78"/>
      <c r="H405" s="78"/>
      <c r="I405" s="78"/>
      <c r="J405" s="78"/>
      <c r="K405" s="78"/>
      <c r="L405" s="78"/>
      <c r="M405" s="78"/>
      <c r="N405" s="78"/>
      <c r="O405" s="78"/>
      <c r="P405" s="78"/>
      <c r="Q405" s="78"/>
      <c r="R405" s="78"/>
      <c r="S405" s="78"/>
      <c r="T405" s="78"/>
      <c r="U405" s="78"/>
      <c r="V405" s="78"/>
      <c r="W405" s="78"/>
      <c r="X405" s="78"/>
      <c r="Y405" s="78"/>
      <c r="Z405" s="78"/>
      <c r="AA405" s="78"/>
      <c r="AB405" s="78"/>
    </row>
    <row r="406" spans="1:28" s="79" customFormat="1" ht="12.6" customHeight="1" x14ac:dyDescent="0.3">
      <c r="A406" s="102"/>
      <c r="B406" s="78"/>
      <c r="C406" s="78"/>
      <c r="D406" s="78"/>
      <c r="E406" s="78"/>
      <c r="F406" s="78"/>
      <c r="H406" s="78"/>
      <c r="I406" s="78"/>
      <c r="J406" s="78"/>
      <c r="K406" s="78"/>
      <c r="L406" s="78"/>
      <c r="M406" s="78"/>
      <c r="N406" s="78"/>
      <c r="O406" s="78"/>
      <c r="P406" s="78"/>
      <c r="Q406" s="78"/>
      <c r="R406" s="78"/>
      <c r="S406" s="78"/>
      <c r="T406" s="78"/>
      <c r="U406" s="78"/>
      <c r="V406" s="78"/>
      <c r="W406" s="78"/>
      <c r="X406" s="78"/>
      <c r="Y406" s="78"/>
      <c r="Z406" s="78"/>
      <c r="AA406" s="78"/>
      <c r="AB406" s="78"/>
    </row>
    <row r="407" spans="1:28" s="79" customFormat="1" ht="12.6" customHeight="1" x14ac:dyDescent="0.3">
      <c r="A407" s="102"/>
      <c r="B407" s="78"/>
      <c r="C407" s="78"/>
      <c r="D407" s="78"/>
      <c r="E407" s="78"/>
      <c r="F407" s="78"/>
      <c r="H407" s="78"/>
      <c r="I407" s="78"/>
      <c r="J407" s="78"/>
      <c r="K407" s="78"/>
      <c r="L407" s="78"/>
      <c r="M407" s="78"/>
      <c r="N407" s="78"/>
      <c r="O407" s="78"/>
      <c r="P407" s="78"/>
      <c r="Q407" s="78"/>
      <c r="R407" s="78"/>
      <c r="S407" s="78"/>
      <c r="T407" s="78"/>
      <c r="U407" s="78"/>
      <c r="V407" s="78"/>
      <c r="W407" s="78"/>
      <c r="X407" s="78"/>
      <c r="Y407" s="78"/>
      <c r="Z407" s="78"/>
      <c r="AA407" s="78"/>
      <c r="AB407" s="78"/>
    </row>
    <row r="408" spans="1:28" s="79" customFormat="1" ht="12.6" customHeight="1" x14ac:dyDescent="0.3">
      <c r="A408" s="102"/>
      <c r="B408" s="78"/>
      <c r="C408" s="78"/>
      <c r="D408" s="78"/>
      <c r="E408" s="78"/>
      <c r="F408" s="78"/>
      <c r="H408" s="78"/>
      <c r="I408" s="78"/>
      <c r="J408" s="78"/>
      <c r="K408" s="78"/>
      <c r="L408" s="78"/>
      <c r="M408" s="78"/>
      <c r="N408" s="78"/>
      <c r="O408" s="78"/>
      <c r="P408" s="78"/>
      <c r="Q408" s="78"/>
      <c r="R408" s="78"/>
      <c r="S408" s="78"/>
      <c r="T408" s="78"/>
      <c r="U408" s="78"/>
      <c r="V408" s="78"/>
      <c r="W408" s="78"/>
      <c r="X408" s="78"/>
      <c r="Y408" s="78"/>
      <c r="Z408" s="78"/>
      <c r="AA408" s="78"/>
      <c r="AB408" s="78"/>
    </row>
    <row r="409" spans="1:28" s="79" customFormat="1" ht="12.6" customHeight="1" x14ac:dyDescent="0.3">
      <c r="A409" s="102"/>
      <c r="B409" s="78"/>
      <c r="C409" s="78"/>
      <c r="D409" s="78"/>
      <c r="E409" s="78"/>
      <c r="F409" s="78"/>
      <c r="H409" s="78"/>
      <c r="I409" s="78"/>
      <c r="J409" s="78"/>
      <c r="K409" s="78"/>
      <c r="L409" s="78"/>
      <c r="M409" s="78"/>
      <c r="N409" s="78"/>
      <c r="O409" s="78"/>
      <c r="P409" s="78"/>
      <c r="Q409" s="78"/>
      <c r="R409" s="78"/>
      <c r="S409" s="78"/>
      <c r="T409" s="78"/>
      <c r="U409" s="78"/>
      <c r="V409" s="78"/>
      <c r="W409" s="78"/>
      <c r="X409" s="78"/>
      <c r="Y409" s="78"/>
      <c r="Z409" s="78"/>
      <c r="AA409" s="78"/>
      <c r="AB409" s="78"/>
    </row>
    <row r="410" spans="1:28" s="79" customFormat="1" ht="12.6" customHeight="1" x14ac:dyDescent="0.3">
      <c r="A410" s="102"/>
      <c r="B410" s="78"/>
      <c r="C410" s="78"/>
      <c r="D410" s="78"/>
      <c r="E410" s="78"/>
      <c r="F410" s="78"/>
      <c r="H410" s="78"/>
      <c r="I410" s="78"/>
      <c r="J410" s="78"/>
      <c r="K410" s="78"/>
      <c r="L410" s="78"/>
      <c r="M410" s="78"/>
      <c r="N410" s="78"/>
      <c r="O410" s="78"/>
      <c r="P410" s="78"/>
      <c r="Q410" s="78"/>
      <c r="R410" s="78"/>
      <c r="S410" s="78"/>
      <c r="T410" s="78"/>
      <c r="U410" s="78"/>
      <c r="V410" s="78"/>
      <c r="W410" s="78"/>
      <c r="X410" s="78"/>
      <c r="Y410" s="78"/>
      <c r="Z410" s="78"/>
      <c r="AA410" s="78"/>
      <c r="AB410" s="78"/>
    </row>
    <row r="411" spans="1:28" s="79" customFormat="1" ht="12.6" customHeight="1" x14ac:dyDescent="0.3">
      <c r="A411" s="102"/>
      <c r="B411" s="78"/>
      <c r="C411" s="78"/>
      <c r="D411" s="78"/>
      <c r="E411" s="78"/>
      <c r="F411" s="78"/>
      <c r="H411" s="78"/>
      <c r="I411" s="78"/>
      <c r="J411" s="78"/>
      <c r="K411" s="78"/>
      <c r="L411" s="78"/>
      <c r="M411" s="78"/>
      <c r="N411" s="78"/>
      <c r="O411" s="78"/>
      <c r="P411" s="78"/>
      <c r="Q411" s="78"/>
      <c r="R411" s="78"/>
      <c r="S411" s="78"/>
      <c r="T411" s="78"/>
      <c r="U411" s="78"/>
      <c r="V411" s="78"/>
      <c r="W411" s="78"/>
      <c r="X411" s="78"/>
      <c r="Y411" s="78"/>
      <c r="Z411" s="78"/>
      <c r="AA411" s="78"/>
      <c r="AB411" s="78"/>
    </row>
    <row r="412" spans="1:28" s="79" customFormat="1" ht="12.6" customHeight="1" x14ac:dyDescent="0.3">
      <c r="A412" s="102"/>
      <c r="B412" s="78"/>
      <c r="C412" s="78"/>
      <c r="D412" s="78"/>
      <c r="E412" s="78"/>
      <c r="F412" s="78"/>
      <c r="H412" s="78"/>
      <c r="I412" s="78"/>
      <c r="J412" s="78"/>
      <c r="K412" s="78"/>
      <c r="L412" s="78"/>
      <c r="M412" s="78"/>
      <c r="N412" s="78"/>
      <c r="O412" s="78"/>
      <c r="P412" s="78"/>
      <c r="Q412" s="78"/>
      <c r="R412" s="78"/>
      <c r="S412" s="78"/>
      <c r="T412" s="78"/>
      <c r="U412" s="78"/>
      <c r="V412" s="78"/>
      <c r="W412" s="78"/>
      <c r="X412" s="78"/>
      <c r="Y412" s="78"/>
      <c r="Z412" s="78"/>
      <c r="AA412" s="78"/>
      <c r="AB412" s="78"/>
    </row>
    <row r="413" spans="1:28" s="79" customFormat="1" ht="12.6" customHeight="1" x14ac:dyDescent="0.3">
      <c r="A413" s="102"/>
      <c r="B413" s="78"/>
      <c r="C413" s="78"/>
      <c r="D413" s="78"/>
      <c r="E413" s="78"/>
      <c r="F413" s="78"/>
      <c r="H413" s="78"/>
      <c r="I413" s="78"/>
      <c r="J413" s="78"/>
      <c r="K413" s="78"/>
      <c r="L413" s="78"/>
      <c r="M413" s="78"/>
      <c r="N413" s="78"/>
      <c r="O413" s="78"/>
      <c r="P413" s="78"/>
      <c r="Q413" s="78"/>
      <c r="R413" s="78"/>
      <c r="S413" s="78"/>
      <c r="T413" s="78"/>
      <c r="U413" s="78"/>
      <c r="V413" s="78"/>
      <c r="W413" s="78"/>
      <c r="X413" s="78"/>
      <c r="Y413" s="78"/>
      <c r="Z413" s="78"/>
      <c r="AA413" s="78"/>
      <c r="AB413" s="78"/>
    </row>
    <row r="414" spans="1:28" s="79" customFormat="1" ht="12.6" customHeight="1" x14ac:dyDescent="0.3">
      <c r="A414" s="102"/>
      <c r="B414" s="78"/>
      <c r="C414" s="78"/>
      <c r="D414" s="78"/>
      <c r="E414" s="78"/>
      <c r="F414" s="78"/>
      <c r="H414" s="78"/>
      <c r="I414" s="78"/>
      <c r="J414" s="78"/>
      <c r="K414" s="78"/>
      <c r="L414" s="78"/>
      <c r="M414" s="78"/>
      <c r="N414" s="78"/>
      <c r="O414" s="78"/>
      <c r="P414" s="78"/>
      <c r="Q414" s="78"/>
      <c r="R414" s="78"/>
      <c r="S414" s="78"/>
      <c r="T414" s="78"/>
      <c r="U414" s="78"/>
      <c r="V414" s="78"/>
      <c r="W414" s="78"/>
      <c r="X414" s="78"/>
      <c r="Y414" s="78"/>
      <c r="Z414" s="78"/>
      <c r="AA414" s="78"/>
      <c r="AB414" s="78"/>
    </row>
    <row r="415" spans="1:28" s="79" customFormat="1" ht="12.6" customHeight="1" x14ac:dyDescent="0.3">
      <c r="A415" s="102"/>
      <c r="B415" s="78"/>
      <c r="C415" s="78"/>
      <c r="D415" s="78"/>
      <c r="E415" s="78"/>
      <c r="F415" s="78"/>
      <c r="H415" s="78"/>
      <c r="I415" s="78"/>
      <c r="J415" s="78"/>
      <c r="K415" s="78"/>
      <c r="L415" s="78"/>
      <c r="M415" s="78"/>
      <c r="N415" s="78"/>
      <c r="O415" s="78"/>
      <c r="P415" s="78"/>
      <c r="Q415" s="78"/>
      <c r="R415" s="78"/>
      <c r="S415" s="78"/>
      <c r="T415" s="78"/>
      <c r="U415" s="78"/>
      <c r="V415" s="78"/>
      <c r="W415" s="78"/>
      <c r="X415" s="78"/>
      <c r="Y415" s="78"/>
      <c r="Z415" s="78"/>
      <c r="AA415" s="78"/>
      <c r="AB415" s="78"/>
    </row>
    <row r="416" spans="1:28" s="79" customFormat="1" ht="12.6" customHeight="1" x14ac:dyDescent="0.3">
      <c r="A416" s="102"/>
      <c r="B416" s="78"/>
      <c r="C416" s="78"/>
      <c r="D416" s="78"/>
      <c r="E416" s="78"/>
      <c r="F416" s="78"/>
      <c r="H416" s="78"/>
      <c r="I416" s="78"/>
      <c r="J416" s="78"/>
      <c r="K416" s="78"/>
      <c r="L416" s="78"/>
      <c r="M416" s="78"/>
      <c r="N416" s="78"/>
      <c r="O416" s="78"/>
      <c r="P416" s="78"/>
      <c r="Q416" s="78"/>
      <c r="R416" s="78"/>
      <c r="S416" s="78"/>
      <c r="T416" s="78"/>
      <c r="U416" s="78"/>
      <c r="V416" s="78"/>
      <c r="W416" s="78"/>
      <c r="X416" s="78"/>
      <c r="Y416" s="78"/>
      <c r="Z416" s="78"/>
      <c r="AA416" s="78"/>
      <c r="AB416" s="78"/>
    </row>
    <row r="417" spans="1:28" s="79" customFormat="1" ht="12.6" customHeight="1" x14ac:dyDescent="0.3">
      <c r="A417" s="102"/>
      <c r="B417" s="78"/>
      <c r="C417" s="78"/>
      <c r="D417" s="78"/>
      <c r="E417" s="78"/>
      <c r="F417" s="78"/>
      <c r="H417" s="78"/>
      <c r="I417" s="78"/>
      <c r="J417" s="78"/>
      <c r="K417" s="78"/>
      <c r="L417" s="78"/>
      <c r="M417" s="78"/>
      <c r="N417" s="78"/>
      <c r="O417" s="78"/>
      <c r="P417" s="78"/>
      <c r="Q417" s="78"/>
      <c r="R417" s="78"/>
      <c r="S417" s="78"/>
      <c r="T417" s="78"/>
      <c r="U417" s="78"/>
      <c r="V417" s="78"/>
      <c r="W417" s="78"/>
      <c r="X417" s="78"/>
      <c r="Y417" s="78"/>
      <c r="Z417" s="78"/>
      <c r="AA417" s="78"/>
      <c r="AB417" s="78"/>
    </row>
    <row r="418" spans="1:28" s="79" customFormat="1" ht="12.6" customHeight="1" x14ac:dyDescent="0.3">
      <c r="A418" s="102"/>
      <c r="B418" s="78"/>
      <c r="C418" s="78"/>
      <c r="D418" s="78"/>
      <c r="E418" s="78"/>
      <c r="F418" s="78"/>
      <c r="H418" s="78"/>
      <c r="I418" s="78"/>
      <c r="J418" s="78"/>
      <c r="K418" s="78"/>
      <c r="L418" s="78"/>
      <c r="M418" s="78"/>
      <c r="N418" s="78"/>
      <c r="O418" s="78"/>
      <c r="P418" s="78"/>
      <c r="Q418" s="78"/>
      <c r="R418" s="78"/>
      <c r="S418" s="78"/>
      <c r="T418" s="78"/>
      <c r="U418" s="78"/>
      <c r="V418" s="78"/>
      <c r="W418" s="78"/>
      <c r="X418" s="78"/>
      <c r="Y418" s="78"/>
      <c r="Z418" s="78"/>
      <c r="AA418" s="78"/>
      <c r="AB418" s="78"/>
    </row>
    <row r="419" spans="1:28" s="79" customFormat="1" ht="12.6" customHeight="1" x14ac:dyDescent="0.3">
      <c r="A419" s="102"/>
      <c r="B419" s="78"/>
      <c r="C419" s="78"/>
      <c r="D419" s="78"/>
      <c r="E419" s="78"/>
      <c r="F419" s="78"/>
      <c r="H419" s="78"/>
      <c r="I419" s="78"/>
      <c r="J419" s="78"/>
      <c r="K419" s="78"/>
      <c r="L419" s="78"/>
      <c r="M419" s="78"/>
      <c r="N419" s="78"/>
      <c r="O419" s="78"/>
      <c r="P419" s="78"/>
      <c r="Q419" s="78"/>
      <c r="R419" s="78"/>
      <c r="S419" s="78"/>
      <c r="T419" s="78"/>
      <c r="U419" s="78"/>
      <c r="V419" s="78"/>
      <c r="W419" s="78"/>
      <c r="X419" s="78"/>
      <c r="Y419" s="78"/>
      <c r="Z419" s="78"/>
      <c r="AA419" s="78"/>
      <c r="AB419" s="78"/>
    </row>
    <row r="420" spans="1:28" s="79" customFormat="1" ht="12.6" customHeight="1" x14ac:dyDescent="0.3">
      <c r="A420" s="102"/>
      <c r="B420" s="78"/>
      <c r="C420" s="78"/>
      <c r="D420" s="78"/>
      <c r="E420" s="78"/>
      <c r="F420" s="78"/>
      <c r="H420" s="78"/>
      <c r="I420" s="78"/>
      <c r="J420" s="78"/>
      <c r="K420" s="78"/>
      <c r="L420" s="78"/>
      <c r="M420" s="78"/>
      <c r="N420" s="78"/>
      <c r="O420" s="78"/>
      <c r="P420" s="78"/>
      <c r="Q420" s="78"/>
      <c r="R420" s="78"/>
      <c r="S420" s="78"/>
      <c r="T420" s="78"/>
      <c r="U420" s="78"/>
      <c r="V420" s="78"/>
      <c r="W420" s="78"/>
      <c r="X420" s="78"/>
      <c r="Y420" s="78"/>
      <c r="Z420" s="78"/>
      <c r="AA420" s="78"/>
      <c r="AB420" s="78"/>
    </row>
    <row r="421" spans="1:28" s="79" customFormat="1" ht="12.6" customHeight="1" x14ac:dyDescent="0.3">
      <c r="A421" s="102"/>
      <c r="B421" s="78"/>
      <c r="C421" s="78"/>
      <c r="D421" s="78"/>
      <c r="E421" s="78"/>
      <c r="F421" s="78"/>
      <c r="H421" s="78"/>
      <c r="I421" s="78"/>
      <c r="J421" s="78"/>
      <c r="K421" s="78"/>
      <c r="L421" s="78"/>
      <c r="M421" s="78"/>
      <c r="N421" s="78"/>
      <c r="O421" s="78"/>
      <c r="P421" s="78"/>
      <c r="Q421" s="78"/>
      <c r="R421" s="78"/>
      <c r="S421" s="78"/>
      <c r="T421" s="78"/>
      <c r="U421" s="78"/>
      <c r="V421" s="78"/>
      <c r="W421" s="78"/>
      <c r="X421" s="78"/>
      <c r="Y421" s="78"/>
      <c r="Z421" s="78"/>
      <c r="AA421" s="78"/>
      <c r="AB421" s="78"/>
    </row>
    <row r="422" spans="1:28" s="79" customFormat="1" ht="12.6" customHeight="1" x14ac:dyDescent="0.3">
      <c r="A422" s="102"/>
      <c r="B422" s="78"/>
      <c r="C422" s="78"/>
      <c r="D422" s="78"/>
      <c r="E422" s="78"/>
      <c r="F422" s="78"/>
      <c r="H422" s="78"/>
      <c r="I422" s="78"/>
      <c r="J422" s="78"/>
      <c r="K422" s="78"/>
      <c r="L422" s="78"/>
      <c r="M422" s="78"/>
      <c r="N422" s="78"/>
      <c r="O422" s="78"/>
      <c r="P422" s="78"/>
      <c r="Q422" s="78"/>
      <c r="R422" s="78"/>
      <c r="S422" s="78"/>
      <c r="T422" s="78"/>
      <c r="U422" s="78"/>
      <c r="V422" s="78"/>
      <c r="W422" s="78"/>
      <c r="X422" s="78"/>
      <c r="Y422" s="78"/>
      <c r="Z422" s="78"/>
      <c r="AA422" s="78"/>
      <c r="AB422" s="78"/>
    </row>
    <row r="423" spans="1:28" s="79" customFormat="1" ht="12.6" customHeight="1" x14ac:dyDescent="0.3">
      <c r="A423" s="102"/>
      <c r="B423" s="78"/>
      <c r="C423" s="78"/>
      <c r="D423" s="78"/>
      <c r="E423" s="78"/>
      <c r="F423" s="78"/>
      <c r="H423" s="78"/>
      <c r="I423" s="78"/>
      <c r="J423" s="78"/>
      <c r="K423" s="78"/>
      <c r="L423" s="78"/>
      <c r="M423" s="78"/>
      <c r="N423" s="78"/>
      <c r="O423" s="78"/>
      <c r="P423" s="78"/>
      <c r="Q423" s="78"/>
      <c r="R423" s="78"/>
      <c r="S423" s="78"/>
      <c r="T423" s="78"/>
      <c r="U423" s="78"/>
      <c r="V423" s="78"/>
      <c r="W423" s="78"/>
      <c r="X423" s="78"/>
      <c r="Y423" s="78"/>
      <c r="Z423" s="78"/>
      <c r="AA423" s="78"/>
      <c r="AB423" s="78"/>
    </row>
    <row r="424" spans="1:28" s="79" customFormat="1" ht="12.6" customHeight="1" x14ac:dyDescent="0.3">
      <c r="A424" s="102"/>
      <c r="B424" s="78"/>
      <c r="C424" s="78"/>
      <c r="D424" s="78"/>
      <c r="E424" s="78"/>
      <c r="F424" s="78"/>
      <c r="H424" s="78"/>
      <c r="I424" s="78"/>
      <c r="J424" s="78"/>
      <c r="K424" s="78"/>
      <c r="L424" s="78"/>
      <c r="M424" s="78"/>
      <c r="N424" s="78"/>
      <c r="O424" s="78"/>
      <c r="P424" s="78"/>
      <c r="Q424" s="78"/>
      <c r="R424" s="78"/>
      <c r="S424" s="78"/>
      <c r="T424" s="78"/>
      <c r="U424" s="78"/>
      <c r="V424" s="78"/>
      <c r="W424" s="78"/>
      <c r="X424" s="78"/>
      <c r="Y424" s="78"/>
      <c r="Z424" s="78"/>
      <c r="AA424" s="78"/>
      <c r="AB424" s="78"/>
    </row>
    <row r="425" spans="1:28" s="79" customFormat="1" ht="12.6" customHeight="1" x14ac:dyDescent="0.3">
      <c r="A425" s="102"/>
      <c r="B425" s="78"/>
      <c r="C425" s="78"/>
      <c r="D425" s="78"/>
      <c r="E425" s="78"/>
      <c r="F425" s="78"/>
      <c r="H425" s="78"/>
      <c r="I425" s="78"/>
      <c r="J425" s="78"/>
      <c r="K425" s="78"/>
      <c r="L425" s="78"/>
      <c r="M425" s="78"/>
      <c r="N425" s="78"/>
      <c r="O425" s="78"/>
      <c r="P425" s="78"/>
      <c r="Q425" s="78"/>
      <c r="R425" s="78"/>
      <c r="S425" s="78"/>
      <c r="T425" s="78"/>
      <c r="U425" s="78"/>
      <c r="V425" s="78"/>
      <c r="W425" s="78"/>
      <c r="X425" s="78"/>
      <c r="Y425" s="78"/>
      <c r="Z425" s="78"/>
      <c r="AA425" s="78"/>
      <c r="AB425" s="78"/>
    </row>
    <row r="426" spans="1:28" s="79" customFormat="1" ht="12.6" customHeight="1" x14ac:dyDescent="0.3">
      <c r="A426" s="102"/>
      <c r="B426" s="78"/>
      <c r="C426" s="78"/>
      <c r="D426" s="78"/>
      <c r="E426" s="78"/>
      <c r="F426" s="78"/>
      <c r="H426" s="78"/>
      <c r="I426" s="78"/>
      <c r="J426" s="78"/>
      <c r="K426" s="78"/>
      <c r="L426" s="78"/>
      <c r="M426" s="78"/>
      <c r="N426" s="78"/>
      <c r="O426" s="78"/>
      <c r="P426" s="78"/>
      <c r="Q426" s="78"/>
      <c r="R426" s="78"/>
      <c r="S426" s="78"/>
      <c r="T426" s="78"/>
      <c r="U426" s="78"/>
      <c r="V426" s="78"/>
      <c r="W426" s="78"/>
      <c r="X426" s="78"/>
      <c r="Y426" s="78"/>
      <c r="Z426" s="78"/>
      <c r="AA426" s="78"/>
      <c r="AB426" s="78"/>
    </row>
    <row r="427" spans="1:28" s="79" customFormat="1" ht="12.6" customHeight="1" x14ac:dyDescent="0.3">
      <c r="A427" s="102"/>
      <c r="B427" s="78"/>
      <c r="C427" s="78"/>
      <c r="D427" s="78"/>
      <c r="E427" s="78"/>
      <c r="F427" s="78"/>
      <c r="H427" s="78"/>
      <c r="I427" s="78"/>
      <c r="J427" s="78"/>
      <c r="K427" s="78"/>
      <c r="L427" s="78"/>
      <c r="M427" s="78"/>
      <c r="N427" s="78"/>
      <c r="O427" s="78"/>
      <c r="P427" s="78"/>
      <c r="Q427" s="78"/>
      <c r="R427" s="78"/>
      <c r="S427" s="78"/>
      <c r="T427" s="78"/>
      <c r="U427" s="78"/>
      <c r="V427" s="78"/>
      <c r="W427" s="78"/>
      <c r="X427" s="78"/>
      <c r="Y427" s="78"/>
      <c r="Z427" s="78"/>
      <c r="AA427" s="78"/>
      <c r="AB427" s="78"/>
    </row>
    <row r="428" spans="1:28" s="79" customFormat="1" ht="12.6" customHeight="1" x14ac:dyDescent="0.3">
      <c r="A428" s="102"/>
      <c r="B428" s="78"/>
      <c r="C428" s="78"/>
      <c r="D428" s="78"/>
      <c r="E428" s="78"/>
      <c r="F428" s="78"/>
      <c r="H428" s="78"/>
      <c r="I428" s="78"/>
      <c r="J428" s="78"/>
      <c r="K428" s="78"/>
      <c r="L428" s="78"/>
      <c r="M428" s="78"/>
      <c r="N428" s="78"/>
      <c r="O428" s="78"/>
      <c r="P428" s="78"/>
      <c r="Q428" s="78"/>
      <c r="R428" s="78"/>
      <c r="S428" s="78"/>
      <c r="T428" s="78"/>
      <c r="U428" s="78"/>
      <c r="V428" s="78"/>
      <c r="W428" s="78"/>
      <c r="X428" s="78"/>
      <c r="Y428" s="78"/>
      <c r="Z428" s="78"/>
      <c r="AA428" s="78"/>
      <c r="AB428" s="78"/>
    </row>
    <row r="429" spans="1:28" s="79" customFormat="1" ht="12.6" customHeight="1" x14ac:dyDescent="0.3">
      <c r="A429" s="102"/>
      <c r="B429" s="78"/>
      <c r="C429" s="78"/>
      <c r="D429" s="78"/>
      <c r="E429" s="78"/>
      <c r="F429" s="78"/>
      <c r="H429" s="78"/>
      <c r="I429" s="78"/>
      <c r="J429" s="78"/>
      <c r="K429" s="78"/>
      <c r="L429" s="78"/>
      <c r="M429" s="78"/>
      <c r="N429" s="78"/>
      <c r="O429" s="78"/>
      <c r="P429" s="78"/>
      <c r="Q429" s="78"/>
      <c r="R429" s="78"/>
      <c r="S429" s="78"/>
      <c r="T429" s="78"/>
      <c r="U429" s="78"/>
      <c r="V429" s="78"/>
      <c r="W429" s="78"/>
      <c r="X429" s="78"/>
      <c r="Y429" s="78"/>
      <c r="Z429" s="78"/>
      <c r="AA429" s="78"/>
      <c r="AB429" s="78"/>
    </row>
    <row r="430" spans="1:28" s="79" customFormat="1" ht="12.6" customHeight="1" x14ac:dyDescent="0.3">
      <c r="A430" s="102"/>
      <c r="B430" s="78"/>
      <c r="C430" s="78"/>
      <c r="D430" s="78"/>
      <c r="E430" s="78"/>
      <c r="F430" s="78"/>
      <c r="H430" s="78"/>
      <c r="I430" s="78"/>
      <c r="J430" s="78"/>
      <c r="K430" s="78"/>
      <c r="L430" s="78"/>
      <c r="M430" s="78"/>
      <c r="N430" s="78"/>
      <c r="O430" s="78"/>
      <c r="P430" s="78"/>
      <c r="Q430" s="78"/>
      <c r="R430" s="78"/>
      <c r="S430" s="78"/>
      <c r="T430" s="78"/>
      <c r="U430" s="78"/>
      <c r="V430" s="78"/>
      <c r="W430" s="78"/>
      <c r="X430" s="78"/>
      <c r="Y430" s="78"/>
      <c r="Z430" s="78"/>
      <c r="AA430" s="78"/>
      <c r="AB430" s="78"/>
    </row>
    <row r="431" spans="1:28" s="79" customFormat="1" ht="12.6" customHeight="1" x14ac:dyDescent="0.3">
      <c r="A431" s="102"/>
      <c r="B431" s="78"/>
      <c r="C431" s="78"/>
      <c r="D431" s="78"/>
      <c r="E431" s="78"/>
      <c r="F431" s="78"/>
      <c r="H431" s="78"/>
      <c r="I431" s="78"/>
      <c r="J431" s="78"/>
      <c r="K431" s="78"/>
      <c r="L431" s="78"/>
      <c r="M431" s="78"/>
      <c r="N431" s="78"/>
      <c r="O431" s="78"/>
      <c r="P431" s="78"/>
      <c r="Q431" s="78"/>
      <c r="R431" s="78"/>
      <c r="S431" s="78"/>
      <c r="T431" s="78"/>
      <c r="U431" s="78"/>
      <c r="V431" s="78"/>
      <c r="W431" s="78"/>
      <c r="X431" s="78"/>
      <c r="Y431" s="78"/>
      <c r="Z431" s="78"/>
      <c r="AA431" s="78"/>
      <c r="AB431" s="78"/>
    </row>
    <row r="432" spans="1:28" s="79" customFormat="1" ht="12.6" customHeight="1" x14ac:dyDescent="0.3">
      <c r="A432" s="102"/>
      <c r="B432" s="78"/>
      <c r="C432" s="78"/>
      <c r="D432" s="78"/>
      <c r="E432" s="78"/>
      <c r="F432" s="78"/>
      <c r="H432" s="78"/>
      <c r="I432" s="78"/>
      <c r="J432" s="78"/>
      <c r="K432" s="78"/>
      <c r="L432" s="78"/>
      <c r="M432" s="78"/>
      <c r="N432" s="78"/>
      <c r="O432" s="78"/>
      <c r="P432" s="78"/>
      <c r="Q432" s="78"/>
      <c r="R432" s="78"/>
      <c r="S432" s="78"/>
      <c r="T432" s="78"/>
      <c r="U432" s="78"/>
      <c r="V432" s="78"/>
      <c r="W432" s="78"/>
      <c r="X432" s="78"/>
      <c r="Y432" s="78"/>
      <c r="Z432" s="78"/>
      <c r="AA432" s="78"/>
      <c r="AB432" s="78"/>
    </row>
    <row r="433" spans="1:28" s="79" customFormat="1" ht="12.6" customHeight="1" x14ac:dyDescent="0.3">
      <c r="A433" s="102"/>
      <c r="B433" s="78"/>
      <c r="C433" s="78"/>
      <c r="D433" s="78"/>
      <c r="E433" s="78"/>
      <c r="F433" s="78"/>
      <c r="H433" s="78"/>
      <c r="I433" s="78"/>
      <c r="J433" s="78"/>
      <c r="K433" s="78"/>
      <c r="L433" s="78"/>
      <c r="M433" s="78"/>
      <c r="N433" s="78"/>
      <c r="O433" s="78"/>
      <c r="P433" s="78"/>
      <c r="Q433" s="78"/>
      <c r="R433" s="78"/>
      <c r="S433" s="78"/>
      <c r="T433" s="78"/>
      <c r="U433" s="78"/>
      <c r="V433" s="78"/>
      <c r="W433" s="78"/>
      <c r="X433" s="78"/>
      <c r="Y433" s="78"/>
      <c r="Z433" s="78"/>
      <c r="AA433" s="78"/>
      <c r="AB433" s="78"/>
    </row>
    <row r="434" spans="1:28" s="79" customFormat="1" ht="12.6" customHeight="1" x14ac:dyDescent="0.3">
      <c r="A434" s="102"/>
      <c r="B434" s="78"/>
      <c r="C434" s="78"/>
      <c r="D434" s="78"/>
      <c r="E434" s="78"/>
      <c r="F434" s="78"/>
      <c r="H434" s="78"/>
      <c r="I434" s="78"/>
      <c r="J434" s="78"/>
      <c r="K434" s="78"/>
      <c r="L434" s="78"/>
      <c r="M434" s="78"/>
      <c r="N434" s="78"/>
      <c r="O434" s="78"/>
      <c r="P434" s="78"/>
      <c r="Q434" s="78"/>
      <c r="R434" s="78"/>
      <c r="S434" s="78"/>
      <c r="T434" s="78"/>
      <c r="U434" s="78"/>
      <c r="V434" s="78"/>
      <c r="W434" s="78"/>
      <c r="X434" s="78"/>
      <c r="Y434" s="78"/>
      <c r="Z434" s="78"/>
      <c r="AA434" s="78"/>
      <c r="AB434" s="78"/>
    </row>
    <row r="435" spans="1:28" s="79" customFormat="1" ht="12.6" customHeight="1" x14ac:dyDescent="0.3">
      <c r="A435" s="102"/>
      <c r="B435" s="78"/>
      <c r="C435" s="78"/>
      <c r="D435" s="78"/>
      <c r="E435" s="78"/>
      <c r="F435" s="78"/>
      <c r="H435" s="78"/>
      <c r="I435" s="78"/>
      <c r="J435" s="78"/>
      <c r="K435" s="78"/>
      <c r="L435" s="78"/>
      <c r="M435" s="78"/>
      <c r="N435" s="78"/>
      <c r="O435" s="78"/>
      <c r="P435" s="78"/>
      <c r="Q435" s="78"/>
      <c r="R435" s="78"/>
      <c r="S435" s="78"/>
      <c r="T435" s="78"/>
      <c r="U435" s="78"/>
      <c r="V435" s="78"/>
      <c r="W435" s="78"/>
      <c r="X435" s="78"/>
      <c r="Y435" s="78"/>
      <c r="Z435" s="78"/>
      <c r="AA435" s="78"/>
      <c r="AB435" s="78"/>
    </row>
    <row r="436" spans="1:28" s="79" customFormat="1" ht="12.6" customHeight="1" x14ac:dyDescent="0.3">
      <c r="A436" s="102"/>
      <c r="B436" s="78"/>
      <c r="C436" s="78"/>
      <c r="D436" s="78"/>
      <c r="E436" s="78"/>
      <c r="F436" s="78"/>
      <c r="H436" s="78"/>
      <c r="I436" s="78"/>
      <c r="J436" s="78"/>
      <c r="K436" s="78"/>
      <c r="L436" s="78"/>
      <c r="M436" s="78"/>
      <c r="N436" s="78"/>
      <c r="O436" s="78"/>
      <c r="P436" s="78"/>
      <c r="Q436" s="78"/>
      <c r="R436" s="78"/>
      <c r="S436" s="78"/>
      <c r="T436" s="78"/>
      <c r="U436" s="78"/>
      <c r="V436" s="78"/>
      <c r="W436" s="78"/>
      <c r="X436" s="78"/>
      <c r="Y436" s="78"/>
      <c r="Z436" s="78"/>
      <c r="AA436" s="78"/>
      <c r="AB436" s="78"/>
    </row>
    <row r="437" spans="1:28" s="79" customFormat="1" ht="12.6" customHeight="1" x14ac:dyDescent="0.3">
      <c r="A437" s="102"/>
      <c r="B437" s="78"/>
      <c r="C437" s="78"/>
      <c r="D437" s="78"/>
      <c r="E437" s="78"/>
      <c r="F437" s="78"/>
      <c r="H437" s="78"/>
      <c r="I437" s="78"/>
      <c r="J437" s="78"/>
      <c r="K437" s="78"/>
      <c r="L437" s="78"/>
      <c r="M437" s="78"/>
      <c r="N437" s="78"/>
      <c r="O437" s="78"/>
      <c r="P437" s="78"/>
      <c r="Q437" s="78"/>
      <c r="R437" s="78"/>
      <c r="S437" s="78"/>
      <c r="T437" s="78"/>
      <c r="U437" s="78"/>
      <c r="V437" s="78"/>
      <c r="W437" s="78"/>
      <c r="X437" s="78"/>
      <c r="Y437" s="78"/>
      <c r="Z437" s="78"/>
      <c r="AA437" s="78"/>
      <c r="AB437" s="78"/>
    </row>
    <row r="438" spans="1:28" s="79" customFormat="1" ht="12.6" customHeight="1" x14ac:dyDescent="0.3">
      <c r="A438" s="102"/>
      <c r="B438" s="78"/>
      <c r="C438" s="78"/>
      <c r="D438" s="78"/>
      <c r="E438" s="78"/>
      <c r="F438" s="78"/>
      <c r="H438" s="78"/>
      <c r="I438" s="78"/>
      <c r="J438" s="78"/>
      <c r="K438" s="78"/>
      <c r="L438" s="78"/>
      <c r="M438" s="78"/>
      <c r="N438" s="78"/>
      <c r="O438" s="78"/>
      <c r="P438" s="78"/>
      <c r="Q438" s="78"/>
      <c r="R438" s="78"/>
      <c r="S438" s="78"/>
      <c r="T438" s="78"/>
      <c r="U438" s="78"/>
      <c r="V438" s="78"/>
      <c r="W438" s="78"/>
      <c r="X438" s="78"/>
      <c r="Y438" s="78"/>
      <c r="Z438" s="78"/>
      <c r="AA438" s="78"/>
      <c r="AB438" s="78"/>
    </row>
    <row r="439" spans="1:28" s="79" customFormat="1" ht="12.6" customHeight="1" x14ac:dyDescent="0.3">
      <c r="A439" s="102"/>
      <c r="B439" s="78"/>
      <c r="C439" s="78"/>
      <c r="D439" s="78"/>
      <c r="E439" s="78"/>
      <c r="F439" s="78"/>
      <c r="H439" s="78"/>
      <c r="I439" s="78"/>
      <c r="J439" s="78"/>
      <c r="K439" s="78"/>
      <c r="L439" s="78"/>
      <c r="M439" s="78"/>
      <c r="N439" s="78"/>
      <c r="O439" s="78"/>
      <c r="P439" s="78"/>
      <c r="Q439" s="78"/>
      <c r="R439" s="78"/>
      <c r="S439" s="78"/>
      <c r="T439" s="78"/>
      <c r="U439" s="78"/>
      <c r="V439" s="78"/>
      <c r="W439" s="78"/>
      <c r="X439" s="78"/>
      <c r="Y439" s="78"/>
      <c r="Z439" s="78"/>
      <c r="AA439" s="78"/>
      <c r="AB439" s="78"/>
    </row>
    <row r="440" spans="1:28" s="79" customFormat="1" ht="12.6" customHeight="1" x14ac:dyDescent="0.3">
      <c r="A440" s="102"/>
      <c r="B440" s="78"/>
      <c r="C440" s="78"/>
      <c r="D440" s="78"/>
      <c r="E440" s="78"/>
      <c r="F440" s="78"/>
      <c r="H440" s="78"/>
      <c r="I440" s="78"/>
      <c r="J440" s="78"/>
      <c r="K440" s="78"/>
      <c r="L440" s="78"/>
      <c r="M440" s="78"/>
      <c r="N440" s="78"/>
      <c r="O440" s="78"/>
      <c r="P440" s="78"/>
      <c r="Q440" s="78"/>
      <c r="R440" s="78"/>
      <c r="S440" s="78"/>
      <c r="T440" s="78"/>
      <c r="U440" s="78"/>
      <c r="V440" s="78"/>
      <c r="W440" s="78"/>
      <c r="X440" s="78"/>
      <c r="Y440" s="78"/>
      <c r="Z440" s="78"/>
      <c r="AA440" s="78"/>
      <c r="AB440" s="78"/>
    </row>
    <row r="441" spans="1:28" s="79" customFormat="1" ht="12.6" customHeight="1" x14ac:dyDescent="0.3">
      <c r="A441" s="102"/>
      <c r="B441" s="78"/>
      <c r="C441" s="78"/>
      <c r="D441" s="78"/>
      <c r="E441" s="78"/>
      <c r="F441" s="78"/>
      <c r="H441" s="78"/>
      <c r="I441" s="78"/>
      <c r="J441" s="78"/>
      <c r="K441" s="78"/>
      <c r="L441" s="78"/>
      <c r="M441" s="78"/>
      <c r="N441" s="78"/>
      <c r="O441" s="78"/>
      <c r="P441" s="78"/>
      <c r="Q441" s="78"/>
      <c r="R441" s="78"/>
      <c r="S441" s="78"/>
      <c r="T441" s="78"/>
      <c r="U441" s="78"/>
      <c r="V441" s="78"/>
      <c r="W441" s="78"/>
      <c r="X441" s="78"/>
      <c r="Y441" s="78"/>
      <c r="Z441" s="78"/>
      <c r="AA441" s="78"/>
      <c r="AB441" s="78"/>
    </row>
    <row r="442" spans="1:28" s="79" customFormat="1" ht="12.6" customHeight="1" x14ac:dyDescent="0.3">
      <c r="A442" s="102"/>
      <c r="B442" s="78"/>
      <c r="C442" s="78"/>
      <c r="D442" s="78"/>
      <c r="E442" s="78"/>
      <c r="F442" s="78"/>
      <c r="H442" s="78"/>
      <c r="I442" s="78"/>
      <c r="J442" s="78"/>
      <c r="K442" s="78"/>
      <c r="L442" s="78"/>
      <c r="M442" s="78"/>
      <c r="N442" s="78"/>
      <c r="O442" s="78"/>
      <c r="P442" s="78"/>
      <c r="Q442" s="78"/>
      <c r="R442" s="78"/>
      <c r="S442" s="78"/>
      <c r="T442" s="78"/>
      <c r="U442" s="78"/>
      <c r="V442" s="78"/>
      <c r="W442" s="78"/>
      <c r="X442" s="78"/>
      <c r="Y442" s="78"/>
      <c r="Z442" s="78"/>
      <c r="AA442" s="78"/>
      <c r="AB442" s="78"/>
    </row>
    <row r="443" spans="1:28" s="79" customFormat="1" ht="12.6" customHeight="1" x14ac:dyDescent="0.3">
      <c r="A443" s="102"/>
      <c r="B443" s="78"/>
      <c r="C443" s="78"/>
      <c r="D443" s="78"/>
      <c r="E443" s="78"/>
      <c r="F443" s="78"/>
      <c r="H443" s="78"/>
      <c r="I443" s="78"/>
      <c r="J443" s="78"/>
      <c r="K443" s="78"/>
      <c r="L443" s="78"/>
      <c r="M443" s="78"/>
      <c r="N443" s="78"/>
      <c r="O443" s="78"/>
      <c r="P443" s="78"/>
      <c r="Q443" s="78"/>
      <c r="R443" s="78"/>
      <c r="S443" s="78"/>
      <c r="T443" s="78"/>
      <c r="U443" s="78"/>
      <c r="V443" s="78"/>
      <c r="W443" s="78"/>
      <c r="X443" s="78"/>
      <c r="Y443" s="78"/>
      <c r="Z443" s="78"/>
      <c r="AA443" s="78"/>
      <c r="AB443" s="78"/>
    </row>
    <row r="444" spans="1:28" s="79" customFormat="1" ht="12.6" customHeight="1" x14ac:dyDescent="0.3">
      <c r="A444" s="102"/>
      <c r="B444" s="78"/>
      <c r="C444" s="78"/>
      <c r="D444" s="78"/>
      <c r="E444" s="78"/>
      <c r="F444" s="78"/>
      <c r="H444" s="78"/>
      <c r="I444" s="78"/>
      <c r="J444" s="78"/>
      <c r="K444" s="78"/>
      <c r="L444" s="78"/>
      <c r="M444" s="78"/>
      <c r="N444" s="78"/>
      <c r="O444" s="78"/>
      <c r="P444" s="78"/>
      <c r="Q444" s="78"/>
      <c r="R444" s="78"/>
      <c r="S444" s="78"/>
      <c r="T444" s="78"/>
      <c r="U444" s="78"/>
      <c r="V444" s="78"/>
      <c r="W444" s="78"/>
      <c r="X444" s="78"/>
      <c r="Y444" s="78"/>
      <c r="Z444" s="78"/>
      <c r="AA444" s="78"/>
      <c r="AB444" s="78"/>
    </row>
    <row r="445" spans="1:28" s="79" customFormat="1" ht="12.6" customHeight="1" x14ac:dyDescent="0.3">
      <c r="A445" s="102"/>
      <c r="B445" s="78"/>
      <c r="C445" s="78"/>
      <c r="D445" s="78"/>
      <c r="E445" s="78"/>
      <c r="F445" s="78"/>
      <c r="H445" s="78"/>
      <c r="I445" s="78"/>
      <c r="J445" s="78"/>
      <c r="K445" s="78"/>
      <c r="L445" s="78"/>
      <c r="M445" s="78"/>
      <c r="N445" s="78"/>
      <c r="O445" s="78"/>
      <c r="P445" s="78"/>
      <c r="Q445" s="78"/>
      <c r="R445" s="78"/>
      <c r="S445" s="78"/>
      <c r="T445" s="78"/>
      <c r="U445" s="78"/>
      <c r="V445" s="78"/>
      <c r="W445" s="78"/>
      <c r="X445" s="78"/>
      <c r="Y445" s="78"/>
      <c r="Z445" s="78"/>
      <c r="AA445" s="78"/>
      <c r="AB445" s="78"/>
    </row>
    <row r="446" spans="1:28" s="79" customFormat="1" ht="12.6" customHeight="1" x14ac:dyDescent="0.3">
      <c r="A446" s="102"/>
      <c r="B446" s="78"/>
      <c r="C446" s="78"/>
      <c r="D446" s="78"/>
      <c r="E446" s="78"/>
      <c r="F446" s="78"/>
      <c r="H446" s="78"/>
      <c r="I446" s="78"/>
      <c r="J446" s="78"/>
      <c r="K446" s="78"/>
      <c r="L446" s="78"/>
      <c r="M446" s="78"/>
      <c r="N446" s="78"/>
      <c r="O446" s="78"/>
      <c r="P446" s="78"/>
      <c r="Q446" s="78"/>
      <c r="R446" s="78"/>
      <c r="S446" s="78"/>
      <c r="T446" s="78"/>
      <c r="U446" s="78"/>
      <c r="V446" s="78"/>
      <c r="W446" s="78"/>
      <c r="X446" s="78"/>
      <c r="Y446" s="78"/>
      <c r="Z446" s="78"/>
      <c r="AA446" s="78"/>
      <c r="AB446" s="78"/>
    </row>
    <row r="447" spans="1:28" s="79" customFormat="1" ht="12.6" customHeight="1" x14ac:dyDescent="0.3">
      <c r="A447" s="102"/>
      <c r="B447" s="78"/>
      <c r="C447" s="78"/>
      <c r="D447" s="78"/>
      <c r="E447" s="78"/>
      <c r="F447" s="78"/>
      <c r="H447" s="78"/>
      <c r="I447" s="78"/>
      <c r="J447" s="78"/>
      <c r="K447" s="78"/>
      <c r="L447" s="78"/>
      <c r="M447" s="78"/>
      <c r="N447" s="78"/>
      <c r="O447" s="78"/>
      <c r="P447" s="78"/>
      <c r="Q447" s="78"/>
      <c r="R447" s="78"/>
      <c r="S447" s="78"/>
      <c r="T447" s="78"/>
      <c r="U447" s="78"/>
      <c r="V447" s="78"/>
      <c r="W447" s="78"/>
      <c r="X447" s="78"/>
      <c r="Y447" s="78"/>
      <c r="Z447" s="78"/>
      <c r="AA447" s="78"/>
      <c r="AB447" s="78"/>
    </row>
    <row r="448" spans="1:28" s="79" customFormat="1" ht="12.6" customHeight="1" x14ac:dyDescent="0.3">
      <c r="A448" s="102"/>
      <c r="B448" s="78"/>
      <c r="C448" s="78"/>
      <c r="D448" s="78"/>
      <c r="E448" s="78"/>
      <c r="F448" s="78"/>
      <c r="H448" s="78"/>
      <c r="I448" s="78"/>
      <c r="J448" s="78"/>
      <c r="K448" s="78"/>
      <c r="L448" s="78"/>
      <c r="M448" s="78"/>
      <c r="N448" s="78"/>
      <c r="O448" s="78"/>
      <c r="P448" s="78"/>
      <c r="Q448" s="78"/>
      <c r="R448" s="78"/>
      <c r="S448" s="78"/>
      <c r="T448" s="78"/>
      <c r="U448" s="78"/>
      <c r="V448" s="78"/>
      <c r="W448" s="78"/>
      <c r="X448" s="78"/>
      <c r="Y448" s="78"/>
      <c r="Z448" s="78"/>
      <c r="AA448" s="78"/>
      <c r="AB448" s="78"/>
    </row>
    <row r="449" spans="1:28" s="79" customFormat="1" ht="12.6" customHeight="1" x14ac:dyDescent="0.3">
      <c r="A449" s="102"/>
      <c r="B449" s="78"/>
      <c r="C449" s="78"/>
      <c r="D449" s="78"/>
      <c r="E449" s="78"/>
      <c r="F449" s="78"/>
      <c r="H449" s="78"/>
      <c r="I449" s="78"/>
      <c r="J449" s="78"/>
      <c r="K449" s="78"/>
      <c r="L449" s="78"/>
      <c r="M449" s="78"/>
      <c r="N449" s="78"/>
      <c r="O449" s="78"/>
      <c r="P449" s="78"/>
      <c r="Q449" s="78"/>
      <c r="R449" s="78"/>
      <c r="S449" s="78"/>
      <c r="T449" s="78"/>
      <c r="U449" s="78"/>
      <c r="V449" s="78"/>
      <c r="W449" s="78"/>
      <c r="X449" s="78"/>
      <c r="Y449" s="78"/>
      <c r="Z449" s="78"/>
      <c r="AA449" s="78"/>
      <c r="AB449" s="78"/>
    </row>
    <row r="450" spans="1:28" s="79" customFormat="1" ht="12.6" customHeight="1" x14ac:dyDescent="0.3">
      <c r="A450" s="102"/>
      <c r="B450" s="78"/>
      <c r="C450" s="78"/>
      <c r="D450" s="78"/>
      <c r="E450" s="78"/>
      <c r="F450" s="78"/>
      <c r="H450" s="78"/>
      <c r="I450" s="78"/>
      <c r="J450" s="78"/>
      <c r="K450" s="78"/>
      <c r="L450" s="78"/>
      <c r="M450" s="78"/>
      <c r="N450" s="78"/>
      <c r="O450" s="78"/>
      <c r="P450" s="78"/>
      <c r="Q450" s="78"/>
      <c r="R450" s="78"/>
      <c r="S450" s="78"/>
      <c r="T450" s="78"/>
      <c r="U450" s="78"/>
      <c r="V450" s="78"/>
      <c r="W450" s="78"/>
      <c r="X450" s="78"/>
      <c r="Y450" s="78"/>
      <c r="Z450" s="78"/>
      <c r="AA450" s="78"/>
      <c r="AB450" s="78"/>
    </row>
    <row r="451" spans="1:28" s="79" customFormat="1" ht="12.6" customHeight="1" x14ac:dyDescent="0.3">
      <c r="A451" s="102"/>
      <c r="B451" s="78"/>
      <c r="C451" s="78"/>
      <c r="D451" s="78"/>
      <c r="E451" s="78"/>
      <c r="F451" s="78"/>
      <c r="H451" s="78"/>
      <c r="I451" s="78"/>
      <c r="J451" s="78"/>
      <c r="K451" s="78"/>
      <c r="L451" s="78"/>
      <c r="M451" s="78"/>
      <c r="N451" s="78"/>
      <c r="O451" s="78"/>
      <c r="P451" s="78"/>
      <c r="Q451" s="78"/>
      <c r="R451" s="78"/>
      <c r="S451" s="78"/>
      <c r="T451" s="78"/>
      <c r="U451" s="78"/>
      <c r="V451" s="78"/>
      <c r="W451" s="78"/>
      <c r="X451" s="78"/>
      <c r="Y451" s="78"/>
      <c r="Z451" s="78"/>
      <c r="AA451" s="78"/>
      <c r="AB451" s="78"/>
    </row>
    <row r="452" spans="1:28" s="79" customFormat="1" ht="12.6" customHeight="1" x14ac:dyDescent="0.3">
      <c r="A452" s="102"/>
      <c r="B452" s="78"/>
      <c r="C452" s="78"/>
      <c r="D452" s="78"/>
      <c r="E452" s="78"/>
      <c r="F452" s="78"/>
      <c r="H452" s="78"/>
      <c r="I452" s="78"/>
      <c r="J452" s="78"/>
      <c r="K452" s="78"/>
      <c r="L452" s="78"/>
      <c r="M452" s="78"/>
      <c r="N452" s="78"/>
      <c r="O452" s="78"/>
      <c r="P452" s="78"/>
      <c r="Q452" s="78"/>
      <c r="R452" s="78"/>
      <c r="S452" s="78"/>
      <c r="T452" s="78"/>
      <c r="U452" s="78"/>
      <c r="V452" s="78"/>
      <c r="W452" s="78"/>
      <c r="X452" s="78"/>
      <c r="Y452" s="78"/>
      <c r="Z452" s="78"/>
      <c r="AA452" s="78"/>
      <c r="AB452" s="78"/>
    </row>
    <row r="453" spans="1:28" s="79" customFormat="1" ht="12.6" customHeight="1" x14ac:dyDescent="0.3">
      <c r="A453" s="102"/>
      <c r="B453" s="78"/>
      <c r="C453" s="78"/>
      <c r="D453" s="78"/>
      <c r="E453" s="78"/>
      <c r="F453" s="78"/>
      <c r="H453" s="78"/>
      <c r="I453" s="78"/>
      <c r="J453" s="78"/>
      <c r="K453" s="78"/>
      <c r="L453" s="78"/>
      <c r="M453" s="78"/>
      <c r="N453" s="78"/>
      <c r="O453" s="78"/>
      <c r="P453" s="78"/>
      <c r="Q453" s="78"/>
      <c r="R453" s="78"/>
      <c r="S453" s="78"/>
      <c r="T453" s="78"/>
      <c r="U453" s="78"/>
      <c r="V453" s="78"/>
      <c r="W453" s="78"/>
      <c r="X453" s="78"/>
      <c r="Y453" s="78"/>
      <c r="Z453" s="78"/>
      <c r="AA453" s="78"/>
      <c r="AB453" s="78"/>
    </row>
    <row r="454" spans="1:28" s="79" customFormat="1" ht="12.6" customHeight="1" x14ac:dyDescent="0.3">
      <c r="A454" s="102"/>
      <c r="B454" s="78"/>
      <c r="C454" s="78"/>
      <c r="D454" s="78"/>
      <c r="E454" s="78"/>
      <c r="F454" s="78"/>
      <c r="H454" s="78"/>
      <c r="I454" s="78"/>
      <c r="J454" s="78"/>
      <c r="K454" s="78"/>
      <c r="L454" s="78"/>
      <c r="M454" s="78"/>
      <c r="N454" s="78"/>
      <c r="O454" s="78"/>
      <c r="P454" s="78"/>
      <c r="Q454" s="78"/>
      <c r="R454" s="78"/>
      <c r="S454" s="78"/>
      <c r="T454" s="78"/>
      <c r="U454" s="78"/>
      <c r="V454" s="78"/>
      <c r="W454" s="78"/>
      <c r="X454" s="78"/>
      <c r="Y454" s="78"/>
      <c r="Z454" s="78"/>
      <c r="AA454" s="78"/>
      <c r="AB454" s="78"/>
    </row>
    <row r="455" spans="1:28" s="79" customFormat="1" ht="12.6" customHeight="1" x14ac:dyDescent="0.3">
      <c r="A455" s="102"/>
      <c r="B455" s="78"/>
      <c r="C455" s="78"/>
      <c r="D455" s="78"/>
      <c r="E455" s="78"/>
      <c r="F455" s="78"/>
      <c r="H455" s="78"/>
      <c r="I455" s="78"/>
      <c r="J455" s="78"/>
      <c r="K455" s="78"/>
      <c r="L455" s="78"/>
      <c r="M455" s="78"/>
      <c r="N455" s="78"/>
      <c r="O455" s="78"/>
      <c r="P455" s="78"/>
      <c r="Q455" s="78"/>
      <c r="R455" s="78"/>
      <c r="S455" s="78"/>
      <c r="T455" s="78"/>
      <c r="U455" s="78"/>
      <c r="V455" s="78"/>
      <c r="W455" s="78"/>
      <c r="X455" s="78"/>
      <c r="Y455" s="78"/>
      <c r="Z455" s="78"/>
      <c r="AA455" s="78"/>
      <c r="AB455" s="78"/>
    </row>
    <row r="456" spans="1:28" s="79" customFormat="1" ht="12.6" customHeight="1" x14ac:dyDescent="0.3">
      <c r="A456" s="102"/>
      <c r="B456" s="78"/>
      <c r="C456" s="78"/>
      <c r="D456" s="78"/>
      <c r="E456" s="78"/>
      <c r="F456" s="78"/>
      <c r="H456" s="78"/>
      <c r="I456" s="78"/>
      <c r="J456" s="78"/>
      <c r="K456" s="78"/>
      <c r="L456" s="78"/>
      <c r="M456" s="78"/>
      <c r="N456" s="78"/>
      <c r="O456" s="78"/>
      <c r="P456" s="78"/>
      <c r="Q456" s="78"/>
      <c r="R456" s="78"/>
      <c r="S456" s="78"/>
      <c r="T456" s="78"/>
      <c r="U456" s="78"/>
      <c r="V456" s="78"/>
      <c r="W456" s="78"/>
      <c r="X456" s="78"/>
      <c r="Y456" s="78"/>
      <c r="Z456" s="78"/>
      <c r="AA456" s="78"/>
      <c r="AB456" s="78"/>
    </row>
    <row r="457" spans="1:28" s="79" customFormat="1" ht="12.6" customHeight="1" x14ac:dyDescent="0.3">
      <c r="A457" s="102"/>
      <c r="B457" s="78"/>
      <c r="C457" s="78"/>
      <c r="D457" s="78"/>
      <c r="E457" s="78"/>
      <c r="F457" s="78"/>
      <c r="H457" s="78"/>
      <c r="I457" s="78"/>
      <c r="J457" s="78"/>
      <c r="K457" s="78"/>
      <c r="L457" s="78"/>
      <c r="M457" s="78"/>
      <c r="N457" s="78"/>
      <c r="O457" s="78"/>
      <c r="P457" s="78"/>
      <c r="Q457" s="78"/>
      <c r="R457" s="78"/>
      <c r="S457" s="78"/>
      <c r="T457" s="78"/>
      <c r="U457" s="78"/>
      <c r="V457" s="78"/>
      <c r="W457" s="78"/>
      <c r="X457" s="78"/>
      <c r="Y457" s="78"/>
      <c r="Z457" s="78"/>
      <c r="AA457" s="78"/>
      <c r="AB457" s="78"/>
    </row>
    <row r="458" spans="1:28" s="79" customFormat="1" ht="12.6" customHeight="1" x14ac:dyDescent="0.3">
      <c r="A458" s="102"/>
      <c r="B458" s="78"/>
      <c r="C458" s="78"/>
      <c r="D458" s="78"/>
      <c r="E458" s="78"/>
      <c r="F458" s="78"/>
      <c r="H458" s="78"/>
      <c r="I458" s="78"/>
      <c r="J458" s="78"/>
      <c r="K458" s="78"/>
      <c r="L458" s="78"/>
      <c r="M458" s="78"/>
      <c r="N458" s="78"/>
      <c r="O458" s="78"/>
      <c r="P458" s="78"/>
      <c r="Q458" s="78"/>
      <c r="R458" s="78"/>
      <c r="S458" s="78"/>
      <c r="T458" s="78"/>
      <c r="U458" s="78"/>
      <c r="V458" s="78"/>
      <c r="W458" s="78"/>
      <c r="X458" s="78"/>
      <c r="Y458" s="78"/>
      <c r="Z458" s="78"/>
      <c r="AA458" s="78"/>
      <c r="AB458" s="78"/>
    </row>
    <row r="459" spans="1:28" s="79" customFormat="1" ht="12.6" customHeight="1" x14ac:dyDescent="0.3">
      <c r="A459" s="102"/>
      <c r="B459" s="78"/>
      <c r="C459" s="78"/>
      <c r="D459" s="78"/>
      <c r="E459" s="78"/>
      <c r="F459" s="78"/>
      <c r="H459" s="78"/>
      <c r="I459" s="78"/>
      <c r="J459" s="78"/>
      <c r="K459" s="78"/>
      <c r="L459" s="78"/>
      <c r="M459" s="78"/>
      <c r="N459" s="78"/>
      <c r="O459" s="78"/>
      <c r="P459" s="78"/>
      <c r="Q459" s="78"/>
      <c r="R459" s="78"/>
      <c r="S459" s="78"/>
      <c r="T459" s="78"/>
      <c r="U459" s="78"/>
      <c r="V459" s="78"/>
      <c r="W459" s="78"/>
      <c r="X459" s="78"/>
      <c r="Y459" s="78"/>
      <c r="Z459" s="78"/>
      <c r="AA459" s="78"/>
      <c r="AB459" s="78"/>
    </row>
    <row r="460" spans="1:28" s="79" customFormat="1" ht="12.6" customHeight="1" x14ac:dyDescent="0.3">
      <c r="A460" s="102"/>
      <c r="B460" s="78"/>
      <c r="C460" s="78"/>
      <c r="D460" s="78"/>
      <c r="E460" s="78"/>
      <c r="F460" s="78"/>
      <c r="H460" s="78"/>
      <c r="I460" s="78"/>
      <c r="J460" s="78"/>
      <c r="K460" s="78"/>
      <c r="L460" s="78"/>
      <c r="M460" s="78"/>
      <c r="N460" s="78"/>
      <c r="O460" s="78"/>
      <c r="P460" s="78"/>
      <c r="Q460" s="78"/>
      <c r="R460" s="78"/>
      <c r="S460" s="78"/>
      <c r="T460" s="78"/>
      <c r="U460" s="78"/>
      <c r="V460" s="78"/>
      <c r="W460" s="78"/>
      <c r="X460" s="78"/>
      <c r="Y460" s="78"/>
      <c r="Z460" s="78"/>
      <c r="AA460" s="78"/>
      <c r="AB460" s="78"/>
    </row>
    <row r="461" spans="1:28" s="79" customFormat="1" ht="12.6" customHeight="1" x14ac:dyDescent="0.3">
      <c r="A461" s="102"/>
      <c r="B461" s="78"/>
      <c r="C461" s="78"/>
      <c r="D461" s="78"/>
      <c r="E461" s="78"/>
      <c r="F461" s="78"/>
      <c r="H461" s="78"/>
      <c r="I461" s="78"/>
      <c r="J461" s="78"/>
      <c r="K461" s="78"/>
      <c r="L461" s="78"/>
      <c r="M461" s="78"/>
      <c r="N461" s="78"/>
      <c r="O461" s="78"/>
      <c r="P461" s="78"/>
      <c r="Q461" s="78"/>
      <c r="R461" s="78"/>
      <c r="S461" s="78"/>
      <c r="T461" s="78"/>
      <c r="U461" s="78"/>
      <c r="V461" s="78"/>
      <c r="W461" s="78"/>
      <c r="X461" s="78"/>
      <c r="Y461" s="78"/>
      <c r="Z461" s="78"/>
      <c r="AA461" s="78"/>
      <c r="AB461" s="78"/>
    </row>
    <row r="462" spans="1:28" s="79" customFormat="1" ht="12.6" customHeight="1" x14ac:dyDescent="0.3">
      <c r="A462" s="102"/>
      <c r="B462" s="78"/>
      <c r="C462" s="78"/>
      <c r="D462" s="78"/>
      <c r="E462" s="78"/>
      <c r="F462" s="78"/>
      <c r="H462" s="78"/>
      <c r="I462" s="78"/>
      <c r="J462" s="78"/>
      <c r="K462" s="78"/>
      <c r="L462" s="78"/>
      <c r="M462" s="78"/>
      <c r="N462" s="78"/>
      <c r="O462" s="78"/>
      <c r="P462" s="78"/>
      <c r="Q462" s="78"/>
      <c r="R462" s="78"/>
      <c r="S462" s="78"/>
      <c r="T462" s="78"/>
      <c r="U462" s="78"/>
      <c r="V462" s="78"/>
      <c r="W462" s="78"/>
      <c r="X462" s="78"/>
      <c r="Y462" s="78"/>
      <c r="Z462" s="78"/>
      <c r="AA462" s="78"/>
      <c r="AB462" s="78"/>
    </row>
    <row r="463" spans="1:28" s="79" customFormat="1" ht="12.6" customHeight="1" x14ac:dyDescent="0.3">
      <c r="A463" s="102"/>
      <c r="B463" s="78"/>
      <c r="C463" s="78"/>
      <c r="D463" s="78"/>
      <c r="E463" s="78"/>
      <c r="F463" s="78"/>
      <c r="H463" s="78"/>
      <c r="I463" s="78"/>
      <c r="J463" s="78"/>
      <c r="K463" s="78"/>
      <c r="L463" s="78"/>
      <c r="M463" s="78"/>
      <c r="N463" s="78"/>
      <c r="O463" s="78"/>
      <c r="P463" s="78"/>
      <c r="Q463" s="78"/>
      <c r="R463" s="78"/>
      <c r="S463" s="78"/>
      <c r="T463" s="78"/>
      <c r="U463" s="78"/>
      <c r="V463" s="78"/>
      <c r="W463" s="78"/>
      <c r="X463" s="78"/>
      <c r="Y463" s="78"/>
      <c r="Z463" s="78"/>
      <c r="AA463" s="78"/>
      <c r="AB463" s="78"/>
    </row>
    <row r="464" spans="1:28" s="79" customFormat="1" ht="12.6" customHeight="1" x14ac:dyDescent="0.3">
      <c r="A464" s="102"/>
      <c r="B464" s="78"/>
      <c r="C464" s="78"/>
      <c r="D464" s="78"/>
      <c r="E464" s="78"/>
      <c r="F464" s="78"/>
      <c r="H464" s="78"/>
      <c r="I464" s="78"/>
      <c r="J464" s="78"/>
      <c r="K464" s="78"/>
      <c r="L464" s="78"/>
      <c r="M464" s="78"/>
      <c r="N464" s="78"/>
      <c r="O464" s="78"/>
      <c r="P464" s="78"/>
      <c r="Q464" s="78"/>
      <c r="R464" s="78"/>
      <c r="S464" s="78"/>
      <c r="T464" s="78"/>
      <c r="U464" s="78"/>
      <c r="V464" s="78"/>
      <c r="W464" s="78"/>
      <c r="X464" s="78"/>
      <c r="Y464" s="78"/>
      <c r="Z464" s="78"/>
      <c r="AA464" s="78"/>
      <c r="AB464" s="78"/>
    </row>
    <row r="465" spans="1:28" s="79" customFormat="1" ht="12.6" customHeight="1" x14ac:dyDescent="0.3">
      <c r="A465" s="102"/>
      <c r="B465" s="78"/>
      <c r="C465" s="78"/>
      <c r="D465" s="78"/>
      <c r="E465" s="78"/>
      <c r="F465" s="78"/>
      <c r="H465" s="78"/>
      <c r="I465" s="78"/>
      <c r="J465" s="78"/>
      <c r="K465" s="78"/>
      <c r="L465" s="78"/>
      <c r="M465" s="78"/>
      <c r="N465" s="78"/>
      <c r="O465" s="78"/>
      <c r="P465" s="78"/>
      <c r="Q465" s="78"/>
      <c r="R465" s="78"/>
      <c r="S465" s="78"/>
      <c r="T465" s="78"/>
      <c r="U465" s="78"/>
      <c r="V465" s="78"/>
      <c r="W465" s="78"/>
      <c r="X465" s="78"/>
      <c r="Y465" s="78"/>
      <c r="Z465" s="78"/>
      <c r="AA465" s="78"/>
      <c r="AB465" s="78"/>
    </row>
    <row r="466" spans="1:28" s="79" customFormat="1" ht="12.6" customHeight="1" x14ac:dyDescent="0.3">
      <c r="A466" s="102"/>
      <c r="B466" s="78"/>
      <c r="C466" s="78"/>
      <c r="D466" s="78"/>
      <c r="E466" s="78"/>
      <c r="F466" s="78"/>
      <c r="H466" s="78"/>
      <c r="I466" s="78"/>
      <c r="J466" s="78"/>
      <c r="K466" s="78"/>
      <c r="L466" s="78"/>
      <c r="M466" s="78"/>
      <c r="N466" s="78"/>
      <c r="O466" s="78"/>
      <c r="P466" s="78"/>
      <c r="Q466" s="78"/>
      <c r="R466" s="78"/>
      <c r="S466" s="78"/>
      <c r="T466" s="78"/>
      <c r="U466" s="78"/>
      <c r="V466" s="78"/>
      <c r="W466" s="78"/>
      <c r="X466" s="78"/>
      <c r="Y466" s="78"/>
      <c r="Z466" s="78"/>
      <c r="AA466" s="78"/>
      <c r="AB466" s="78"/>
    </row>
    <row r="467" spans="1:28" s="79" customFormat="1" ht="12.6" customHeight="1" x14ac:dyDescent="0.3">
      <c r="A467" s="102"/>
      <c r="B467" s="78"/>
      <c r="C467" s="78"/>
      <c r="D467" s="78"/>
      <c r="E467" s="78"/>
      <c r="F467" s="78"/>
      <c r="H467" s="78"/>
      <c r="I467" s="78"/>
      <c r="J467" s="78"/>
      <c r="K467" s="78"/>
      <c r="L467" s="78"/>
      <c r="M467" s="78"/>
      <c r="N467" s="78"/>
      <c r="O467" s="78"/>
      <c r="P467" s="78"/>
      <c r="Q467" s="78"/>
      <c r="R467" s="78"/>
      <c r="S467" s="78"/>
      <c r="T467" s="78"/>
      <c r="U467" s="78"/>
      <c r="V467" s="78"/>
      <c r="W467" s="78"/>
      <c r="X467" s="78"/>
      <c r="Y467" s="78"/>
      <c r="Z467" s="78"/>
      <c r="AA467" s="78"/>
      <c r="AB467" s="78"/>
    </row>
    <row r="468" spans="1:28" s="79" customFormat="1" ht="12.6" customHeight="1" x14ac:dyDescent="0.3">
      <c r="A468" s="102"/>
      <c r="B468" s="78"/>
      <c r="C468" s="78"/>
      <c r="D468" s="78"/>
      <c r="E468" s="78"/>
      <c r="F468" s="78"/>
      <c r="H468" s="78"/>
      <c r="I468" s="78"/>
      <c r="J468" s="78"/>
      <c r="K468" s="78"/>
      <c r="L468" s="78"/>
      <c r="M468" s="78"/>
      <c r="N468" s="78"/>
      <c r="O468" s="78"/>
      <c r="P468" s="78"/>
      <c r="Q468" s="78"/>
      <c r="R468" s="78"/>
      <c r="S468" s="78"/>
      <c r="T468" s="78"/>
      <c r="U468" s="78"/>
      <c r="V468" s="78"/>
      <c r="W468" s="78"/>
      <c r="X468" s="78"/>
      <c r="Y468" s="78"/>
      <c r="Z468" s="78"/>
      <c r="AA468" s="78"/>
      <c r="AB468" s="78"/>
    </row>
    <row r="469" spans="1:28" s="79" customFormat="1" ht="12.6" customHeight="1" x14ac:dyDescent="0.3">
      <c r="A469" s="102"/>
      <c r="B469" s="78"/>
      <c r="C469" s="78"/>
      <c r="D469" s="78"/>
      <c r="E469" s="78"/>
      <c r="F469" s="78"/>
      <c r="H469" s="78"/>
      <c r="I469" s="78"/>
      <c r="J469" s="78"/>
      <c r="K469" s="78"/>
      <c r="L469" s="78"/>
      <c r="M469" s="78"/>
      <c r="N469" s="78"/>
      <c r="O469" s="78"/>
      <c r="P469" s="78"/>
      <c r="Q469" s="78"/>
      <c r="R469" s="78"/>
      <c r="S469" s="78"/>
      <c r="T469" s="78"/>
      <c r="U469" s="78"/>
      <c r="V469" s="78"/>
      <c r="W469" s="78"/>
      <c r="X469" s="78"/>
      <c r="Y469" s="78"/>
      <c r="Z469" s="78"/>
      <c r="AA469" s="78"/>
      <c r="AB469" s="78"/>
    </row>
    <row r="470" spans="1:28" s="79" customFormat="1" ht="12.6" customHeight="1" x14ac:dyDescent="0.3">
      <c r="A470" s="102"/>
      <c r="B470" s="78"/>
      <c r="C470" s="78"/>
      <c r="D470" s="78"/>
      <c r="E470" s="78"/>
      <c r="F470" s="78"/>
      <c r="H470" s="78"/>
      <c r="I470" s="78"/>
      <c r="J470" s="78"/>
      <c r="K470" s="78"/>
      <c r="L470" s="78"/>
      <c r="M470" s="78"/>
      <c r="N470" s="78"/>
      <c r="O470" s="78"/>
      <c r="P470" s="78"/>
      <c r="Q470" s="78"/>
      <c r="R470" s="78"/>
      <c r="S470" s="78"/>
      <c r="T470" s="78"/>
      <c r="U470" s="78"/>
      <c r="V470" s="78"/>
      <c r="W470" s="78"/>
      <c r="X470" s="78"/>
      <c r="Y470" s="78"/>
      <c r="Z470" s="78"/>
      <c r="AA470" s="78"/>
      <c r="AB470" s="78"/>
    </row>
    <row r="471" spans="1:28" s="79" customFormat="1" ht="12.6" customHeight="1" x14ac:dyDescent="0.3">
      <c r="A471" s="102"/>
      <c r="B471" s="78"/>
      <c r="C471" s="78"/>
      <c r="D471" s="78"/>
      <c r="E471" s="78"/>
      <c r="F471" s="78"/>
      <c r="H471" s="78"/>
      <c r="I471" s="78"/>
      <c r="J471" s="78"/>
      <c r="K471" s="78"/>
      <c r="L471" s="78"/>
      <c r="M471" s="78"/>
      <c r="N471" s="78"/>
      <c r="O471" s="78"/>
      <c r="P471" s="78"/>
      <c r="Q471" s="78"/>
      <c r="R471" s="78"/>
      <c r="S471" s="78"/>
      <c r="T471" s="78"/>
      <c r="U471" s="78"/>
      <c r="V471" s="78"/>
      <c r="W471" s="78"/>
      <c r="X471" s="78"/>
      <c r="Y471" s="78"/>
      <c r="Z471" s="78"/>
      <c r="AA471" s="78"/>
      <c r="AB471" s="78"/>
    </row>
    <row r="472" spans="1:28" s="79" customFormat="1" ht="12.6" customHeight="1" x14ac:dyDescent="0.3">
      <c r="A472" s="102"/>
      <c r="B472" s="78"/>
      <c r="C472" s="78"/>
      <c r="D472" s="78"/>
      <c r="E472" s="78"/>
      <c r="F472" s="78"/>
      <c r="H472" s="78"/>
      <c r="I472" s="78"/>
      <c r="J472" s="78"/>
      <c r="K472" s="78"/>
      <c r="L472" s="78"/>
      <c r="M472" s="78"/>
      <c r="N472" s="78"/>
      <c r="O472" s="78"/>
      <c r="P472" s="78"/>
      <c r="Q472" s="78"/>
      <c r="R472" s="78"/>
      <c r="S472" s="78"/>
      <c r="T472" s="78"/>
      <c r="U472" s="78"/>
      <c r="V472" s="78"/>
      <c r="W472" s="78"/>
      <c r="X472" s="78"/>
      <c r="Y472" s="78"/>
      <c r="Z472" s="78"/>
      <c r="AA472" s="78"/>
      <c r="AB472" s="78"/>
    </row>
    <row r="473" spans="1:28" s="79" customFormat="1" ht="12.6" customHeight="1" x14ac:dyDescent="0.3">
      <c r="A473" s="102"/>
      <c r="B473" s="78"/>
      <c r="C473" s="78"/>
      <c r="D473" s="78"/>
      <c r="E473" s="78"/>
      <c r="F473" s="78"/>
      <c r="H473" s="78"/>
      <c r="I473" s="78"/>
      <c r="J473" s="78"/>
      <c r="K473" s="78"/>
      <c r="L473" s="78"/>
      <c r="M473" s="78"/>
      <c r="N473" s="78"/>
      <c r="O473" s="78"/>
      <c r="P473" s="78"/>
      <c r="Q473" s="78"/>
      <c r="R473" s="78"/>
      <c r="S473" s="78"/>
      <c r="T473" s="78"/>
      <c r="U473" s="78"/>
      <c r="V473" s="78"/>
      <c r="W473" s="78"/>
      <c r="X473" s="78"/>
      <c r="Y473" s="78"/>
      <c r="Z473" s="78"/>
      <c r="AA473" s="78"/>
      <c r="AB473" s="78"/>
    </row>
    <row r="474" spans="1:28" s="79" customFormat="1" ht="12.6" customHeight="1" x14ac:dyDescent="0.3">
      <c r="A474" s="102"/>
      <c r="B474" s="78"/>
      <c r="C474" s="78"/>
      <c r="D474" s="78"/>
      <c r="E474" s="78"/>
      <c r="F474" s="78"/>
      <c r="H474" s="78"/>
      <c r="I474" s="78"/>
      <c r="J474" s="78"/>
      <c r="K474" s="78"/>
      <c r="L474" s="78"/>
      <c r="M474" s="78"/>
      <c r="N474" s="78"/>
      <c r="O474" s="78"/>
      <c r="P474" s="78"/>
      <c r="Q474" s="78"/>
      <c r="R474" s="78"/>
      <c r="S474" s="78"/>
      <c r="T474" s="78"/>
      <c r="U474" s="78"/>
      <c r="V474" s="78"/>
      <c r="W474" s="78"/>
      <c r="X474" s="78"/>
      <c r="Y474" s="78"/>
      <c r="Z474" s="78"/>
      <c r="AA474" s="78"/>
      <c r="AB474" s="78"/>
    </row>
    <row r="475" spans="1:28" s="79" customFormat="1" ht="12.6" customHeight="1" x14ac:dyDescent="0.3">
      <c r="A475" s="102"/>
      <c r="B475" s="78"/>
      <c r="C475" s="78"/>
      <c r="D475" s="78"/>
      <c r="E475" s="78"/>
      <c r="F475" s="78"/>
      <c r="H475" s="78"/>
      <c r="I475" s="78"/>
      <c r="J475" s="78"/>
      <c r="K475" s="78"/>
      <c r="L475" s="78"/>
      <c r="M475" s="78"/>
      <c r="N475" s="78"/>
      <c r="O475" s="78"/>
      <c r="P475" s="78"/>
      <c r="Q475" s="78"/>
      <c r="R475" s="78"/>
      <c r="S475" s="78"/>
      <c r="T475" s="78"/>
      <c r="U475" s="78"/>
      <c r="V475" s="78"/>
      <c r="W475" s="78"/>
      <c r="X475" s="78"/>
      <c r="Y475" s="78"/>
      <c r="Z475" s="78"/>
      <c r="AA475" s="78"/>
      <c r="AB475" s="78"/>
    </row>
    <row r="476" spans="1:28" s="79" customFormat="1" ht="12.6" customHeight="1" x14ac:dyDescent="0.3">
      <c r="A476" s="102"/>
      <c r="B476" s="78"/>
      <c r="C476" s="78"/>
      <c r="D476" s="78"/>
      <c r="E476" s="78"/>
      <c r="F476" s="78"/>
      <c r="H476" s="78"/>
      <c r="I476" s="78"/>
      <c r="J476" s="78"/>
      <c r="K476" s="78"/>
      <c r="L476" s="78"/>
      <c r="M476" s="78"/>
      <c r="N476" s="78"/>
      <c r="O476" s="78"/>
      <c r="P476" s="78"/>
      <c r="Q476" s="78"/>
      <c r="R476" s="78"/>
      <c r="S476" s="78"/>
      <c r="T476" s="78"/>
      <c r="U476" s="78"/>
      <c r="V476" s="78"/>
      <c r="W476" s="78"/>
      <c r="X476" s="78"/>
      <c r="Y476" s="78"/>
      <c r="Z476" s="78"/>
      <c r="AA476" s="78"/>
      <c r="AB476" s="78"/>
    </row>
    <row r="477" spans="1:28" s="79" customFormat="1" ht="12.6" customHeight="1" x14ac:dyDescent="0.3">
      <c r="A477" s="102"/>
      <c r="B477" s="78"/>
      <c r="C477" s="78"/>
      <c r="D477" s="78"/>
      <c r="E477" s="78"/>
      <c r="F477" s="78"/>
      <c r="H477" s="78"/>
      <c r="I477" s="78"/>
      <c r="J477" s="78"/>
      <c r="K477" s="78"/>
      <c r="L477" s="78"/>
      <c r="M477" s="78"/>
      <c r="N477" s="78"/>
      <c r="O477" s="78"/>
      <c r="P477" s="78"/>
      <c r="Q477" s="78"/>
      <c r="R477" s="78"/>
      <c r="S477" s="78"/>
      <c r="T477" s="78"/>
      <c r="U477" s="78"/>
      <c r="V477" s="78"/>
      <c r="W477" s="78"/>
      <c r="X477" s="78"/>
      <c r="Y477" s="78"/>
      <c r="Z477" s="78"/>
      <c r="AA477" s="78"/>
      <c r="AB477" s="78"/>
    </row>
    <row r="478" spans="1:28" s="79" customFormat="1" ht="12.6" customHeight="1" x14ac:dyDescent="0.3">
      <c r="A478" s="102"/>
      <c r="B478" s="78"/>
      <c r="C478" s="78"/>
      <c r="D478" s="78"/>
      <c r="E478" s="78"/>
      <c r="F478" s="78"/>
      <c r="H478" s="78"/>
      <c r="I478" s="78"/>
      <c r="J478" s="78"/>
      <c r="K478" s="78"/>
      <c r="L478" s="78"/>
      <c r="M478" s="78"/>
      <c r="N478" s="78"/>
      <c r="O478" s="78"/>
      <c r="P478" s="78"/>
      <c r="Q478" s="78"/>
      <c r="R478" s="78"/>
      <c r="S478" s="78"/>
      <c r="T478" s="78"/>
      <c r="U478" s="78"/>
      <c r="V478" s="78"/>
      <c r="W478" s="78"/>
      <c r="X478" s="78"/>
      <c r="Y478" s="78"/>
      <c r="Z478" s="78"/>
      <c r="AA478" s="78"/>
      <c r="AB478" s="78"/>
    </row>
    <row r="479" spans="1:28" s="79" customFormat="1" ht="12.6" customHeight="1" x14ac:dyDescent="0.3">
      <c r="A479" s="102"/>
      <c r="B479" s="78"/>
      <c r="C479" s="78"/>
      <c r="D479" s="78"/>
      <c r="E479" s="78"/>
      <c r="F479" s="78"/>
      <c r="H479" s="78"/>
      <c r="I479" s="78"/>
      <c r="J479" s="78"/>
      <c r="K479" s="78"/>
      <c r="L479" s="78"/>
      <c r="M479" s="78"/>
      <c r="N479" s="78"/>
      <c r="O479" s="78"/>
      <c r="P479" s="78"/>
      <c r="Q479" s="78"/>
      <c r="R479" s="78"/>
      <c r="S479" s="78"/>
      <c r="T479" s="78"/>
      <c r="U479" s="78"/>
      <c r="V479" s="78"/>
      <c r="W479" s="78"/>
      <c r="X479" s="78"/>
      <c r="Y479" s="78"/>
      <c r="Z479" s="78"/>
      <c r="AA479" s="78"/>
      <c r="AB479" s="78"/>
    </row>
    <row r="480" spans="1:28" s="79" customFormat="1" ht="12.6" customHeight="1" x14ac:dyDescent="0.3">
      <c r="A480" s="102"/>
      <c r="B480" s="78"/>
      <c r="C480" s="78"/>
      <c r="D480" s="78"/>
      <c r="E480" s="78"/>
      <c r="F480" s="78"/>
      <c r="H480" s="78"/>
      <c r="I480" s="78"/>
      <c r="J480" s="78"/>
      <c r="K480" s="78"/>
      <c r="L480" s="78"/>
      <c r="M480" s="78"/>
      <c r="N480" s="78"/>
      <c r="O480" s="78"/>
      <c r="P480" s="78"/>
      <c r="Q480" s="78"/>
      <c r="R480" s="78"/>
      <c r="S480" s="78"/>
      <c r="T480" s="78"/>
      <c r="U480" s="78"/>
      <c r="V480" s="78"/>
      <c r="W480" s="78"/>
      <c r="X480" s="78"/>
      <c r="Y480" s="78"/>
      <c r="Z480" s="78"/>
      <c r="AA480" s="78"/>
      <c r="AB480" s="78"/>
    </row>
    <row r="481" spans="1:28" s="79" customFormat="1" ht="12.6" customHeight="1" x14ac:dyDescent="0.3">
      <c r="A481" s="102"/>
      <c r="B481" s="78"/>
      <c r="C481" s="78"/>
      <c r="D481" s="78"/>
      <c r="E481" s="78"/>
      <c r="F481" s="78"/>
      <c r="H481" s="78"/>
      <c r="I481" s="78"/>
      <c r="J481" s="78"/>
      <c r="K481" s="78"/>
      <c r="L481" s="78"/>
      <c r="M481" s="78"/>
      <c r="N481" s="78"/>
      <c r="O481" s="78"/>
      <c r="P481" s="78"/>
      <c r="Q481" s="78"/>
      <c r="R481" s="78"/>
      <c r="S481" s="78"/>
      <c r="T481" s="78"/>
      <c r="U481" s="78"/>
      <c r="V481" s="78"/>
      <c r="W481" s="78"/>
      <c r="X481" s="78"/>
      <c r="Y481" s="78"/>
      <c r="Z481" s="78"/>
      <c r="AA481" s="78"/>
      <c r="AB481" s="78"/>
    </row>
    <row r="482" spans="1:28" s="79" customFormat="1" ht="12.6" customHeight="1" x14ac:dyDescent="0.3">
      <c r="A482" s="102"/>
      <c r="B482" s="78"/>
      <c r="C482" s="78"/>
      <c r="D482" s="78"/>
      <c r="E482" s="78"/>
      <c r="F482" s="78"/>
      <c r="H482" s="78"/>
      <c r="I482" s="78"/>
      <c r="J482" s="78"/>
      <c r="K482" s="78"/>
      <c r="L482" s="78"/>
      <c r="M482" s="78"/>
      <c r="N482" s="78"/>
      <c r="O482" s="78"/>
      <c r="P482" s="78"/>
      <c r="Q482" s="78"/>
      <c r="R482" s="78"/>
      <c r="S482" s="78"/>
      <c r="T482" s="78"/>
      <c r="U482" s="78"/>
      <c r="V482" s="78"/>
      <c r="W482" s="78"/>
      <c r="X482" s="78"/>
      <c r="Y482" s="78"/>
      <c r="Z482" s="78"/>
      <c r="AA482" s="78"/>
      <c r="AB482" s="78"/>
    </row>
    <row r="483" spans="1:28" s="79" customFormat="1" ht="12.6" customHeight="1" x14ac:dyDescent="0.3">
      <c r="A483" s="102"/>
      <c r="B483" s="78"/>
      <c r="C483" s="78"/>
      <c r="D483" s="78"/>
      <c r="E483" s="78"/>
      <c r="F483" s="78"/>
      <c r="H483" s="78"/>
      <c r="I483" s="78"/>
      <c r="J483" s="78"/>
      <c r="K483" s="78"/>
      <c r="L483" s="78"/>
      <c r="M483" s="78"/>
      <c r="N483" s="78"/>
      <c r="O483" s="78"/>
      <c r="P483" s="78"/>
      <c r="Q483" s="78"/>
      <c r="R483" s="78"/>
      <c r="S483" s="78"/>
      <c r="T483" s="78"/>
      <c r="U483" s="78"/>
      <c r="V483" s="78"/>
      <c r="W483" s="78"/>
      <c r="X483" s="78"/>
      <c r="Y483" s="78"/>
      <c r="Z483" s="78"/>
      <c r="AA483" s="78"/>
      <c r="AB483" s="78"/>
    </row>
    <row r="484" spans="1:28" s="79" customFormat="1" ht="12.6" customHeight="1" x14ac:dyDescent="0.3">
      <c r="A484" s="102"/>
      <c r="B484" s="78"/>
      <c r="C484" s="78"/>
      <c r="D484" s="78"/>
      <c r="E484" s="78"/>
      <c r="F484" s="78"/>
      <c r="H484" s="78"/>
      <c r="I484" s="78"/>
      <c r="J484" s="78"/>
      <c r="K484" s="78"/>
      <c r="L484" s="78"/>
      <c r="M484" s="78"/>
      <c r="N484" s="78"/>
      <c r="O484" s="78"/>
      <c r="P484" s="78"/>
      <c r="Q484" s="78"/>
      <c r="R484" s="78"/>
      <c r="S484" s="78"/>
      <c r="T484" s="78"/>
      <c r="U484" s="78"/>
      <c r="V484" s="78"/>
      <c r="W484" s="78"/>
      <c r="X484" s="78"/>
      <c r="Y484" s="78"/>
      <c r="Z484" s="78"/>
      <c r="AA484" s="78"/>
      <c r="AB484" s="78"/>
    </row>
    <row r="485" spans="1:28" s="79" customFormat="1" ht="12.6" customHeight="1" x14ac:dyDescent="0.3">
      <c r="A485" s="102"/>
      <c r="B485" s="78"/>
      <c r="C485" s="78"/>
      <c r="D485" s="78"/>
      <c r="E485" s="78"/>
      <c r="F485" s="78"/>
      <c r="H485" s="78"/>
      <c r="I485" s="78"/>
      <c r="J485" s="78"/>
      <c r="K485" s="78"/>
      <c r="L485" s="78"/>
      <c r="M485" s="78"/>
      <c r="N485" s="78"/>
      <c r="O485" s="78"/>
      <c r="P485" s="78"/>
      <c r="Q485" s="78"/>
      <c r="R485" s="78"/>
      <c r="S485" s="78"/>
      <c r="T485" s="78"/>
      <c r="U485" s="78"/>
      <c r="V485" s="78"/>
      <c r="W485" s="78"/>
      <c r="X485" s="78"/>
      <c r="Y485" s="78"/>
      <c r="Z485" s="78"/>
      <c r="AA485" s="78"/>
      <c r="AB485" s="78"/>
    </row>
    <row r="486" spans="1:28" s="79" customFormat="1" ht="12.6" customHeight="1" x14ac:dyDescent="0.3">
      <c r="A486" s="102"/>
      <c r="B486" s="78"/>
      <c r="C486" s="78"/>
      <c r="D486" s="78"/>
      <c r="E486" s="78"/>
      <c r="F486" s="78"/>
      <c r="H486" s="78"/>
      <c r="I486" s="78"/>
      <c r="J486" s="78"/>
      <c r="K486" s="78"/>
      <c r="L486" s="78"/>
      <c r="M486" s="78"/>
      <c r="N486" s="78"/>
      <c r="O486" s="78"/>
      <c r="P486" s="78"/>
      <c r="Q486" s="78"/>
      <c r="R486" s="78"/>
      <c r="S486" s="78"/>
      <c r="T486" s="78"/>
      <c r="U486" s="78"/>
      <c r="V486" s="78"/>
      <c r="W486" s="78"/>
      <c r="X486" s="78"/>
      <c r="Y486" s="78"/>
      <c r="Z486" s="78"/>
      <c r="AA486" s="78"/>
      <c r="AB486" s="78"/>
    </row>
    <row r="487" spans="1:28" s="79" customFormat="1" ht="12.6" customHeight="1" x14ac:dyDescent="0.3">
      <c r="A487" s="102"/>
      <c r="B487" s="78"/>
      <c r="C487" s="78"/>
      <c r="D487" s="78"/>
      <c r="E487" s="78"/>
      <c r="F487" s="78"/>
      <c r="H487" s="78"/>
      <c r="I487" s="78"/>
      <c r="J487" s="78"/>
      <c r="K487" s="78"/>
      <c r="L487" s="78"/>
      <c r="M487" s="78"/>
      <c r="N487" s="78"/>
      <c r="O487" s="78"/>
      <c r="P487" s="78"/>
      <c r="Q487" s="78"/>
      <c r="R487" s="78"/>
      <c r="S487" s="78"/>
      <c r="T487" s="78"/>
      <c r="U487" s="78"/>
      <c r="V487" s="78"/>
      <c r="W487" s="78"/>
      <c r="X487" s="78"/>
      <c r="Y487" s="78"/>
      <c r="Z487" s="78"/>
      <c r="AA487" s="78"/>
      <c r="AB487" s="78"/>
    </row>
    <row r="488" spans="1:28" s="79" customFormat="1" ht="12.6" customHeight="1" x14ac:dyDescent="0.3">
      <c r="A488" s="102"/>
      <c r="B488" s="78"/>
      <c r="C488" s="78"/>
      <c r="D488" s="78"/>
      <c r="E488" s="78"/>
      <c r="F488" s="78"/>
      <c r="H488" s="78"/>
      <c r="I488" s="78"/>
      <c r="J488" s="78"/>
      <c r="K488" s="78"/>
      <c r="L488" s="78"/>
      <c r="M488" s="78"/>
      <c r="N488" s="78"/>
      <c r="O488" s="78"/>
      <c r="P488" s="78"/>
      <c r="Q488" s="78"/>
      <c r="R488" s="78"/>
      <c r="S488" s="78"/>
      <c r="T488" s="78"/>
      <c r="U488" s="78"/>
      <c r="V488" s="78"/>
      <c r="W488" s="78"/>
      <c r="X488" s="78"/>
      <c r="Y488" s="78"/>
      <c r="Z488" s="78"/>
      <c r="AA488" s="78"/>
      <c r="AB488" s="78"/>
    </row>
    <row r="489" spans="1:28" s="79" customFormat="1" ht="12.6" customHeight="1" x14ac:dyDescent="0.3">
      <c r="A489" s="102"/>
      <c r="B489" s="78"/>
      <c r="C489" s="78"/>
      <c r="D489" s="78"/>
      <c r="E489" s="78"/>
      <c r="F489" s="78"/>
      <c r="H489" s="78"/>
      <c r="I489" s="78"/>
      <c r="J489" s="78"/>
      <c r="K489" s="78"/>
      <c r="L489" s="78"/>
      <c r="M489" s="78"/>
      <c r="N489" s="78"/>
      <c r="O489" s="78"/>
      <c r="P489" s="78"/>
      <c r="Q489" s="78"/>
      <c r="R489" s="78"/>
      <c r="S489" s="78"/>
      <c r="T489" s="78"/>
      <c r="U489" s="78"/>
      <c r="V489" s="78"/>
      <c r="W489" s="78"/>
      <c r="X489" s="78"/>
      <c r="Y489" s="78"/>
      <c r="Z489" s="78"/>
      <c r="AA489" s="78"/>
      <c r="AB489" s="78"/>
    </row>
    <row r="490" spans="1:28" s="79" customFormat="1" ht="12.6" customHeight="1" x14ac:dyDescent="0.3">
      <c r="A490" s="102"/>
      <c r="B490" s="78"/>
      <c r="C490" s="78"/>
      <c r="D490" s="78"/>
      <c r="E490" s="78"/>
      <c r="F490" s="78"/>
      <c r="H490" s="78"/>
      <c r="I490" s="78"/>
      <c r="J490" s="78"/>
      <c r="K490" s="78"/>
      <c r="L490" s="78"/>
      <c r="M490" s="78"/>
      <c r="N490" s="78"/>
      <c r="O490" s="78"/>
      <c r="P490" s="78"/>
      <c r="Q490" s="78"/>
      <c r="R490" s="78"/>
      <c r="S490" s="78"/>
      <c r="T490" s="78"/>
      <c r="U490" s="78"/>
      <c r="V490" s="78"/>
      <c r="W490" s="78"/>
      <c r="X490" s="78"/>
      <c r="Y490" s="78"/>
      <c r="Z490" s="78"/>
      <c r="AA490" s="78"/>
      <c r="AB490" s="78"/>
    </row>
    <row r="491" spans="1:28" s="79" customFormat="1" ht="12.6" customHeight="1" x14ac:dyDescent="0.3">
      <c r="A491" s="102"/>
      <c r="B491" s="78"/>
      <c r="C491" s="78"/>
      <c r="D491" s="78"/>
      <c r="E491" s="78"/>
      <c r="F491" s="78"/>
      <c r="H491" s="78"/>
      <c r="I491" s="78"/>
      <c r="J491" s="78"/>
      <c r="K491" s="78"/>
      <c r="L491" s="78"/>
      <c r="M491" s="78"/>
      <c r="N491" s="78"/>
      <c r="O491" s="78"/>
      <c r="P491" s="78"/>
      <c r="Q491" s="78"/>
      <c r="R491" s="78"/>
      <c r="S491" s="78"/>
      <c r="T491" s="78"/>
      <c r="U491" s="78"/>
      <c r="V491" s="78"/>
      <c r="W491" s="78"/>
      <c r="X491" s="78"/>
      <c r="Y491" s="78"/>
      <c r="Z491" s="78"/>
      <c r="AA491" s="78"/>
      <c r="AB491" s="78"/>
    </row>
    <row r="492" spans="1:28" s="79" customFormat="1" ht="12.6" customHeight="1" x14ac:dyDescent="0.3">
      <c r="A492" s="102"/>
      <c r="B492" s="78"/>
      <c r="C492" s="78"/>
      <c r="D492" s="78"/>
      <c r="E492" s="78"/>
      <c r="F492" s="78"/>
      <c r="H492" s="78"/>
      <c r="I492" s="78"/>
      <c r="J492" s="78"/>
      <c r="K492" s="78"/>
      <c r="L492" s="78"/>
      <c r="M492" s="78"/>
      <c r="N492" s="78"/>
      <c r="O492" s="78"/>
      <c r="P492" s="78"/>
      <c r="Q492" s="78"/>
      <c r="R492" s="78"/>
      <c r="S492" s="78"/>
      <c r="T492" s="78"/>
      <c r="U492" s="78"/>
      <c r="V492" s="78"/>
      <c r="W492" s="78"/>
      <c r="X492" s="78"/>
      <c r="Y492" s="78"/>
      <c r="Z492" s="78"/>
      <c r="AA492" s="78"/>
      <c r="AB492" s="78"/>
    </row>
    <row r="493" spans="1:28" s="79" customFormat="1" ht="12.6" customHeight="1" x14ac:dyDescent="0.3">
      <c r="A493" s="102"/>
      <c r="B493" s="78"/>
      <c r="C493" s="78"/>
      <c r="D493" s="78"/>
      <c r="E493" s="78"/>
      <c r="F493" s="78"/>
      <c r="H493" s="78"/>
      <c r="I493" s="78"/>
      <c r="J493" s="78"/>
      <c r="K493" s="78"/>
      <c r="L493" s="78"/>
      <c r="M493" s="78"/>
      <c r="N493" s="78"/>
      <c r="O493" s="78"/>
      <c r="P493" s="78"/>
      <c r="Q493" s="78"/>
      <c r="R493" s="78"/>
      <c r="S493" s="78"/>
      <c r="T493" s="78"/>
      <c r="U493" s="78"/>
      <c r="V493" s="78"/>
      <c r="W493" s="78"/>
      <c r="X493" s="78"/>
      <c r="Y493" s="78"/>
      <c r="Z493" s="78"/>
      <c r="AA493" s="78"/>
      <c r="AB493" s="78"/>
    </row>
    <row r="494" spans="1:28" s="79" customFormat="1" ht="12.6" customHeight="1" x14ac:dyDescent="0.3">
      <c r="A494" s="102"/>
      <c r="B494" s="78"/>
      <c r="C494" s="78"/>
      <c r="D494" s="78"/>
      <c r="E494" s="78"/>
      <c r="F494" s="78"/>
      <c r="H494" s="78"/>
      <c r="I494" s="78"/>
      <c r="J494" s="78"/>
      <c r="K494" s="78"/>
      <c r="L494" s="78"/>
      <c r="M494" s="78"/>
      <c r="N494" s="78"/>
      <c r="O494" s="78"/>
      <c r="P494" s="78"/>
      <c r="Q494" s="78"/>
      <c r="R494" s="78"/>
      <c r="S494" s="78"/>
      <c r="T494" s="78"/>
      <c r="U494" s="78"/>
      <c r="V494" s="78"/>
      <c r="W494" s="78"/>
      <c r="X494" s="78"/>
      <c r="Y494" s="78"/>
      <c r="Z494" s="78"/>
      <c r="AA494" s="78"/>
      <c r="AB494" s="78"/>
    </row>
    <row r="495" spans="1:28" s="79" customFormat="1" ht="12.6" customHeight="1" x14ac:dyDescent="0.3">
      <c r="A495" s="102"/>
      <c r="B495" s="78"/>
      <c r="C495" s="78"/>
      <c r="D495" s="78"/>
      <c r="E495" s="78"/>
      <c r="F495" s="78"/>
      <c r="H495" s="78"/>
      <c r="I495" s="78"/>
      <c r="J495" s="78"/>
      <c r="K495" s="78"/>
      <c r="L495" s="78"/>
      <c r="M495" s="78"/>
      <c r="N495" s="78"/>
      <c r="O495" s="78"/>
      <c r="P495" s="78"/>
      <c r="Q495" s="78"/>
      <c r="R495" s="78"/>
      <c r="S495" s="78"/>
      <c r="T495" s="78"/>
      <c r="U495" s="78"/>
      <c r="V495" s="78"/>
      <c r="W495" s="78"/>
      <c r="X495" s="78"/>
      <c r="Y495" s="78"/>
      <c r="Z495" s="78"/>
      <c r="AA495" s="78"/>
      <c r="AB495" s="78"/>
    </row>
    <row r="496" spans="1:28" s="79" customFormat="1" ht="12.6" customHeight="1" x14ac:dyDescent="0.3">
      <c r="A496" s="102"/>
      <c r="B496" s="78"/>
      <c r="C496" s="78"/>
      <c r="D496" s="78"/>
      <c r="E496" s="78"/>
      <c r="F496" s="78"/>
      <c r="H496" s="78"/>
      <c r="I496" s="78"/>
      <c r="J496" s="78"/>
      <c r="K496" s="78"/>
      <c r="L496" s="78"/>
      <c r="M496" s="78"/>
      <c r="N496" s="78"/>
      <c r="O496" s="78"/>
      <c r="P496" s="78"/>
      <c r="Q496" s="78"/>
      <c r="R496" s="78"/>
      <c r="S496" s="78"/>
      <c r="T496" s="78"/>
      <c r="U496" s="78"/>
      <c r="V496" s="78"/>
      <c r="W496" s="78"/>
      <c r="X496" s="78"/>
      <c r="Y496" s="78"/>
      <c r="Z496" s="78"/>
      <c r="AA496" s="78"/>
      <c r="AB496" s="78"/>
    </row>
    <row r="497" spans="1:28" s="79" customFormat="1" ht="12.6" customHeight="1" x14ac:dyDescent="0.3">
      <c r="A497" s="102"/>
      <c r="B497" s="78"/>
      <c r="C497" s="78"/>
      <c r="D497" s="78"/>
      <c r="E497" s="78"/>
      <c r="F497" s="78"/>
      <c r="H497" s="78"/>
      <c r="I497" s="78"/>
      <c r="J497" s="78"/>
      <c r="K497" s="78"/>
      <c r="L497" s="78"/>
      <c r="M497" s="78"/>
      <c r="N497" s="78"/>
      <c r="O497" s="78"/>
      <c r="P497" s="78"/>
      <c r="Q497" s="78"/>
      <c r="R497" s="78"/>
      <c r="S497" s="78"/>
      <c r="T497" s="78"/>
      <c r="U497" s="78"/>
      <c r="V497" s="78"/>
      <c r="W497" s="78"/>
      <c r="X497" s="78"/>
      <c r="Y497" s="78"/>
      <c r="Z497" s="78"/>
      <c r="AA497" s="78"/>
      <c r="AB497" s="78"/>
    </row>
    <row r="498" spans="1:28" s="79" customFormat="1" ht="12.6" customHeight="1" x14ac:dyDescent="0.3">
      <c r="A498" s="102"/>
      <c r="B498" s="78"/>
      <c r="C498" s="78"/>
      <c r="D498" s="78"/>
      <c r="E498" s="78"/>
      <c r="F498" s="78"/>
      <c r="H498" s="78"/>
      <c r="I498" s="78"/>
      <c r="J498" s="78"/>
      <c r="K498" s="78"/>
      <c r="L498" s="78"/>
      <c r="M498" s="78"/>
      <c r="N498" s="78"/>
      <c r="O498" s="78"/>
      <c r="P498" s="78"/>
      <c r="Q498" s="78"/>
      <c r="R498" s="78"/>
      <c r="S498" s="78"/>
      <c r="T498" s="78"/>
      <c r="U498" s="78"/>
      <c r="V498" s="78"/>
      <c r="W498" s="78"/>
      <c r="X498" s="78"/>
      <c r="Y498" s="78"/>
      <c r="Z498" s="78"/>
      <c r="AA498" s="78"/>
      <c r="AB498" s="78"/>
    </row>
    <row r="499" spans="1:28" s="79" customFormat="1" ht="12.6" customHeight="1" x14ac:dyDescent="0.3">
      <c r="A499" s="102"/>
      <c r="B499" s="78"/>
      <c r="C499" s="78"/>
      <c r="D499" s="78"/>
      <c r="E499" s="78"/>
      <c r="F499" s="78"/>
      <c r="H499" s="78"/>
      <c r="I499" s="78"/>
      <c r="J499" s="78"/>
      <c r="K499" s="78"/>
      <c r="L499" s="78"/>
      <c r="M499" s="78"/>
      <c r="N499" s="78"/>
      <c r="O499" s="78"/>
      <c r="P499" s="78"/>
      <c r="Q499" s="78"/>
      <c r="R499" s="78"/>
      <c r="S499" s="78"/>
      <c r="T499" s="78"/>
      <c r="U499" s="78"/>
      <c r="V499" s="78"/>
      <c r="W499" s="78"/>
      <c r="X499" s="78"/>
      <c r="Y499" s="78"/>
      <c r="Z499" s="78"/>
      <c r="AA499" s="78"/>
      <c r="AB499" s="78"/>
    </row>
    <row r="500" spans="1:28" s="79" customFormat="1" ht="12.6" customHeight="1" x14ac:dyDescent="0.3">
      <c r="A500" s="102"/>
      <c r="B500" s="78"/>
      <c r="C500" s="78"/>
      <c r="D500" s="78"/>
      <c r="E500" s="78"/>
      <c r="F500" s="78"/>
      <c r="H500" s="78"/>
      <c r="I500" s="78"/>
      <c r="J500" s="78"/>
      <c r="K500" s="78"/>
      <c r="L500" s="78"/>
      <c r="M500" s="78"/>
      <c r="N500" s="78"/>
      <c r="O500" s="78"/>
      <c r="P500" s="78"/>
      <c r="Q500" s="78"/>
      <c r="R500" s="78"/>
      <c r="S500" s="78"/>
      <c r="T500" s="78"/>
      <c r="U500" s="78"/>
      <c r="V500" s="78"/>
      <c r="W500" s="78"/>
      <c r="X500" s="78"/>
      <c r="Y500" s="78"/>
      <c r="Z500" s="78"/>
      <c r="AA500" s="78"/>
      <c r="AB500" s="78"/>
    </row>
    <row r="501" spans="1:28" s="79" customFormat="1" ht="12.6" customHeight="1" x14ac:dyDescent="0.3">
      <c r="A501" s="102"/>
      <c r="B501" s="78"/>
      <c r="C501" s="78"/>
      <c r="D501" s="78"/>
      <c r="E501" s="78"/>
      <c r="F501" s="78"/>
      <c r="H501" s="78"/>
      <c r="I501" s="78"/>
      <c r="J501" s="78"/>
      <c r="K501" s="78"/>
      <c r="L501" s="78"/>
      <c r="M501" s="78"/>
      <c r="N501" s="78"/>
      <c r="O501" s="78"/>
      <c r="P501" s="78"/>
      <c r="Q501" s="78"/>
      <c r="R501" s="78"/>
      <c r="S501" s="78"/>
      <c r="T501" s="78"/>
      <c r="U501" s="78"/>
      <c r="V501" s="78"/>
      <c r="W501" s="78"/>
      <c r="X501" s="78"/>
      <c r="Y501" s="78"/>
      <c r="Z501" s="78"/>
      <c r="AA501" s="78"/>
      <c r="AB501" s="78"/>
    </row>
    <row r="502" spans="1:28" s="79" customFormat="1" ht="12.6" customHeight="1" x14ac:dyDescent="0.3">
      <c r="A502" s="102"/>
      <c r="B502" s="78"/>
      <c r="C502" s="78"/>
      <c r="D502" s="78"/>
      <c r="E502" s="78"/>
      <c r="F502" s="78"/>
      <c r="H502" s="78"/>
      <c r="I502" s="78"/>
      <c r="J502" s="78"/>
      <c r="K502" s="78"/>
      <c r="L502" s="78"/>
      <c r="M502" s="78"/>
      <c r="N502" s="78"/>
      <c r="O502" s="78"/>
      <c r="P502" s="78"/>
      <c r="Q502" s="78"/>
      <c r="R502" s="78"/>
      <c r="S502" s="78"/>
      <c r="T502" s="78"/>
      <c r="U502" s="78"/>
      <c r="V502" s="78"/>
      <c r="W502" s="78"/>
      <c r="X502" s="78"/>
      <c r="Y502" s="78"/>
      <c r="Z502" s="78"/>
      <c r="AA502" s="78"/>
      <c r="AB502" s="78"/>
    </row>
    <row r="503" spans="1:28" s="79" customFormat="1" ht="12.6" customHeight="1" x14ac:dyDescent="0.3">
      <c r="A503" s="102"/>
      <c r="B503" s="78"/>
      <c r="C503" s="78"/>
      <c r="D503" s="78"/>
      <c r="E503" s="78"/>
      <c r="F503" s="78"/>
      <c r="H503" s="78"/>
      <c r="I503" s="78"/>
      <c r="J503" s="78"/>
      <c r="K503" s="78"/>
      <c r="L503" s="78"/>
      <c r="M503" s="78"/>
      <c r="N503" s="78"/>
      <c r="O503" s="78"/>
      <c r="P503" s="78"/>
      <c r="Q503" s="78"/>
      <c r="R503" s="78"/>
      <c r="S503" s="78"/>
      <c r="T503" s="78"/>
      <c r="U503" s="78"/>
      <c r="V503" s="78"/>
      <c r="W503" s="78"/>
      <c r="X503" s="78"/>
      <c r="Y503" s="78"/>
      <c r="Z503" s="78"/>
      <c r="AA503" s="78"/>
      <c r="AB503" s="78"/>
    </row>
    <row r="504" spans="1:28" s="79" customFormat="1" ht="12.6" customHeight="1" x14ac:dyDescent="0.3">
      <c r="A504" s="102"/>
      <c r="B504" s="78"/>
      <c r="C504" s="78"/>
      <c r="D504" s="78"/>
      <c r="E504" s="78"/>
      <c r="F504" s="78"/>
      <c r="H504" s="78"/>
      <c r="I504" s="78"/>
      <c r="J504" s="78"/>
      <c r="K504" s="78"/>
      <c r="L504" s="78"/>
      <c r="M504" s="78"/>
      <c r="N504" s="78"/>
      <c r="O504" s="78"/>
      <c r="P504" s="78"/>
      <c r="Q504" s="78"/>
      <c r="R504" s="78"/>
      <c r="S504" s="78"/>
      <c r="T504" s="78"/>
      <c r="U504" s="78"/>
      <c r="V504" s="78"/>
      <c r="W504" s="78"/>
      <c r="X504" s="78"/>
      <c r="Y504" s="78"/>
      <c r="Z504" s="78"/>
      <c r="AA504" s="78"/>
      <c r="AB504" s="78"/>
    </row>
    <row r="505" spans="1:28" s="79" customFormat="1" ht="12.6" customHeight="1" x14ac:dyDescent="0.3">
      <c r="A505" s="102"/>
      <c r="B505" s="78"/>
      <c r="C505" s="78"/>
      <c r="D505" s="78"/>
      <c r="E505" s="78"/>
      <c r="F505" s="78"/>
      <c r="H505" s="78"/>
      <c r="I505" s="78"/>
      <c r="J505" s="78"/>
      <c r="K505" s="78"/>
      <c r="L505" s="78"/>
      <c r="M505" s="78"/>
      <c r="N505" s="78"/>
      <c r="O505" s="78"/>
      <c r="P505" s="78"/>
      <c r="Q505" s="78"/>
      <c r="R505" s="78"/>
      <c r="S505" s="78"/>
      <c r="T505" s="78"/>
      <c r="U505" s="78"/>
      <c r="V505" s="78"/>
      <c r="W505" s="78"/>
      <c r="X505" s="78"/>
      <c r="Y505" s="78"/>
      <c r="Z505" s="78"/>
      <c r="AA505" s="78"/>
      <c r="AB505" s="78"/>
    </row>
    <row r="506" spans="1:28" s="79" customFormat="1" ht="12.6" customHeight="1" x14ac:dyDescent="0.3">
      <c r="A506" s="102"/>
      <c r="B506" s="78"/>
      <c r="C506" s="78"/>
      <c r="D506" s="78"/>
      <c r="E506" s="78"/>
      <c r="F506" s="78"/>
      <c r="H506" s="78"/>
      <c r="I506" s="78"/>
      <c r="J506" s="78"/>
      <c r="K506" s="78"/>
      <c r="L506" s="78"/>
      <c r="M506" s="78"/>
      <c r="N506" s="78"/>
      <c r="O506" s="78"/>
      <c r="P506" s="78"/>
      <c r="Q506" s="78"/>
      <c r="R506" s="78"/>
      <c r="S506" s="78"/>
      <c r="T506" s="78"/>
      <c r="U506" s="78"/>
      <c r="V506" s="78"/>
      <c r="W506" s="78"/>
      <c r="X506" s="78"/>
      <c r="Y506" s="78"/>
      <c r="Z506" s="78"/>
      <c r="AA506" s="78"/>
      <c r="AB506" s="78"/>
    </row>
    <row r="507" spans="1:28" s="79" customFormat="1" ht="12.6" customHeight="1" x14ac:dyDescent="0.3">
      <c r="A507" s="102"/>
      <c r="B507" s="78"/>
      <c r="C507" s="78"/>
      <c r="D507" s="78"/>
      <c r="E507" s="78"/>
      <c r="F507" s="78"/>
      <c r="H507" s="78"/>
      <c r="I507" s="78"/>
      <c r="J507" s="78"/>
      <c r="K507" s="78"/>
      <c r="L507" s="78"/>
      <c r="M507" s="78"/>
      <c r="N507" s="78"/>
      <c r="O507" s="78"/>
      <c r="P507" s="78"/>
      <c r="Q507" s="78"/>
      <c r="R507" s="78"/>
      <c r="S507" s="78"/>
      <c r="T507" s="78"/>
      <c r="U507" s="78"/>
      <c r="V507" s="78"/>
      <c r="W507" s="78"/>
      <c r="X507" s="78"/>
      <c r="Y507" s="78"/>
      <c r="Z507" s="78"/>
      <c r="AA507" s="78"/>
      <c r="AB507" s="78"/>
    </row>
    <row r="508" spans="1:28" s="79" customFormat="1" ht="12.6" customHeight="1" x14ac:dyDescent="0.3">
      <c r="A508" s="102"/>
      <c r="B508" s="78"/>
      <c r="C508" s="78"/>
      <c r="D508" s="78"/>
      <c r="E508" s="78"/>
      <c r="F508" s="78"/>
      <c r="H508" s="78"/>
      <c r="I508" s="78"/>
      <c r="J508" s="78"/>
      <c r="K508" s="78"/>
      <c r="L508" s="78"/>
      <c r="M508" s="78"/>
      <c r="N508" s="78"/>
      <c r="O508" s="78"/>
      <c r="P508" s="78"/>
      <c r="Q508" s="78"/>
      <c r="R508" s="78"/>
      <c r="S508" s="78"/>
      <c r="T508" s="78"/>
      <c r="U508" s="78"/>
      <c r="V508" s="78"/>
      <c r="W508" s="78"/>
      <c r="X508" s="78"/>
      <c r="Y508" s="78"/>
      <c r="Z508" s="78"/>
      <c r="AA508" s="78"/>
      <c r="AB508" s="78"/>
    </row>
    <row r="509" spans="1:28" s="79" customFormat="1" ht="12.6" customHeight="1" x14ac:dyDescent="0.3">
      <c r="A509" s="102"/>
      <c r="B509" s="78"/>
      <c r="C509" s="78"/>
      <c r="D509" s="78"/>
      <c r="E509" s="78"/>
      <c r="F509" s="78"/>
      <c r="H509" s="78"/>
      <c r="I509" s="78"/>
      <c r="J509" s="78"/>
      <c r="K509" s="78"/>
      <c r="L509" s="78"/>
      <c r="M509" s="78"/>
      <c r="N509" s="78"/>
      <c r="O509" s="78"/>
      <c r="P509" s="78"/>
      <c r="Q509" s="78"/>
      <c r="R509" s="78"/>
      <c r="S509" s="78"/>
      <c r="T509" s="78"/>
      <c r="U509" s="78"/>
      <c r="V509" s="78"/>
      <c r="W509" s="78"/>
      <c r="X509" s="78"/>
      <c r="Y509" s="78"/>
      <c r="Z509" s="78"/>
      <c r="AA509" s="78"/>
      <c r="AB509" s="78"/>
    </row>
    <row r="510" spans="1:28" s="79" customFormat="1" ht="12.6" customHeight="1" x14ac:dyDescent="0.3">
      <c r="A510" s="102"/>
      <c r="B510" s="78"/>
      <c r="C510" s="78"/>
      <c r="D510" s="78"/>
      <c r="E510" s="78"/>
      <c r="F510" s="78"/>
      <c r="H510" s="78"/>
      <c r="I510" s="78"/>
      <c r="J510" s="78"/>
      <c r="K510" s="78"/>
      <c r="L510" s="78"/>
      <c r="M510" s="78"/>
      <c r="N510" s="78"/>
      <c r="O510" s="78"/>
      <c r="P510" s="78"/>
      <c r="Q510" s="78"/>
      <c r="R510" s="78"/>
      <c r="S510" s="78"/>
      <c r="T510" s="78"/>
      <c r="U510" s="78"/>
      <c r="V510" s="78"/>
      <c r="W510" s="78"/>
      <c r="X510" s="78"/>
      <c r="Y510" s="78"/>
      <c r="Z510" s="78"/>
      <c r="AA510" s="78"/>
      <c r="AB510" s="78"/>
    </row>
    <row r="511" spans="1:28" s="79" customFormat="1" ht="12.6" customHeight="1" x14ac:dyDescent="0.3">
      <c r="A511" s="102"/>
      <c r="B511" s="78"/>
      <c r="C511" s="78"/>
      <c r="D511" s="78"/>
      <c r="E511" s="78"/>
      <c r="F511" s="78"/>
      <c r="H511" s="78"/>
      <c r="I511" s="78"/>
      <c r="J511" s="78"/>
      <c r="K511" s="78"/>
      <c r="L511" s="78"/>
      <c r="M511" s="78"/>
      <c r="N511" s="78"/>
      <c r="O511" s="78"/>
      <c r="P511" s="78"/>
      <c r="Q511" s="78"/>
      <c r="R511" s="78"/>
      <c r="S511" s="78"/>
      <c r="T511" s="78"/>
      <c r="U511" s="78"/>
      <c r="V511" s="78"/>
      <c r="W511" s="78"/>
      <c r="X511" s="78"/>
      <c r="Y511" s="78"/>
      <c r="Z511" s="78"/>
      <c r="AA511" s="78"/>
      <c r="AB511" s="78"/>
    </row>
    <row r="512" spans="1:28" s="79" customFormat="1" ht="12.6" customHeight="1" x14ac:dyDescent="0.3">
      <c r="A512" s="102"/>
      <c r="B512" s="78"/>
      <c r="C512" s="78"/>
      <c r="D512" s="78"/>
      <c r="E512" s="78"/>
      <c r="F512" s="78"/>
      <c r="H512" s="78"/>
      <c r="I512" s="78"/>
      <c r="J512" s="78"/>
      <c r="K512" s="78"/>
      <c r="L512" s="78"/>
      <c r="M512" s="78"/>
      <c r="N512" s="78"/>
      <c r="O512" s="78"/>
      <c r="P512" s="78"/>
      <c r="Q512" s="78"/>
      <c r="R512" s="78"/>
      <c r="S512" s="78"/>
      <c r="T512" s="78"/>
      <c r="U512" s="78"/>
      <c r="V512" s="78"/>
      <c r="W512" s="78"/>
      <c r="X512" s="78"/>
      <c r="Y512" s="78"/>
      <c r="Z512" s="78"/>
      <c r="AA512" s="78"/>
      <c r="AB512" s="78"/>
    </row>
    <row r="513" spans="1:28" s="79" customFormat="1" ht="12.6" customHeight="1" x14ac:dyDescent="0.3">
      <c r="A513" s="102"/>
      <c r="B513" s="78"/>
      <c r="C513" s="78"/>
      <c r="D513" s="78"/>
      <c r="E513" s="78"/>
      <c r="F513" s="78"/>
      <c r="H513" s="78"/>
      <c r="I513" s="78"/>
      <c r="J513" s="78"/>
      <c r="K513" s="78"/>
      <c r="L513" s="78"/>
      <c r="M513" s="78"/>
      <c r="N513" s="78"/>
      <c r="O513" s="78"/>
      <c r="P513" s="78"/>
      <c r="Q513" s="78"/>
      <c r="R513" s="78"/>
      <c r="S513" s="78"/>
      <c r="T513" s="78"/>
      <c r="U513" s="78"/>
      <c r="V513" s="78"/>
      <c r="W513" s="78"/>
      <c r="X513" s="78"/>
      <c r="Y513" s="78"/>
      <c r="Z513" s="78"/>
      <c r="AA513" s="78"/>
      <c r="AB513" s="78"/>
    </row>
    <row r="514" spans="1:28" s="79" customFormat="1" ht="12.6" customHeight="1" x14ac:dyDescent="0.3">
      <c r="A514" s="102"/>
      <c r="B514" s="78"/>
      <c r="C514" s="78"/>
      <c r="D514" s="78"/>
      <c r="E514" s="78"/>
      <c r="F514" s="78"/>
      <c r="H514" s="78"/>
      <c r="I514" s="78"/>
      <c r="J514" s="78"/>
      <c r="K514" s="78"/>
      <c r="L514" s="78"/>
      <c r="M514" s="78"/>
      <c r="N514" s="78"/>
      <c r="O514" s="78"/>
      <c r="P514" s="78"/>
      <c r="Q514" s="78"/>
      <c r="R514" s="78"/>
      <c r="S514" s="78"/>
      <c r="T514" s="78"/>
      <c r="U514" s="78"/>
      <c r="V514" s="78"/>
      <c r="W514" s="78"/>
      <c r="X514" s="78"/>
      <c r="Y514" s="78"/>
      <c r="Z514" s="78"/>
      <c r="AA514" s="78"/>
      <c r="AB514" s="78"/>
    </row>
    <row r="515" spans="1:28" s="79" customFormat="1" ht="12.6" customHeight="1" x14ac:dyDescent="0.3">
      <c r="A515" s="102"/>
      <c r="B515" s="78"/>
      <c r="C515" s="78"/>
      <c r="D515" s="78"/>
      <c r="E515" s="78"/>
      <c r="F515" s="78"/>
      <c r="H515" s="78"/>
      <c r="I515" s="78"/>
      <c r="J515" s="78"/>
      <c r="K515" s="78"/>
      <c r="L515" s="78"/>
      <c r="M515" s="78"/>
      <c r="N515" s="78"/>
      <c r="O515" s="78"/>
      <c r="P515" s="78"/>
      <c r="Q515" s="78"/>
      <c r="R515" s="78"/>
      <c r="S515" s="78"/>
      <c r="T515" s="78"/>
      <c r="U515" s="78"/>
      <c r="V515" s="78"/>
      <c r="W515" s="78"/>
      <c r="X515" s="78"/>
      <c r="Y515" s="78"/>
      <c r="Z515" s="78"/>
      <c r="AA515" s="78"/>
      <c r="AB515" s="78"/>
    </row>
    <row r="516" spans="1:28" s="79" customFormat="1" ht="12.6" customHeight="1" x14ac:dyDescent="0.3">
      <c r="A516" s="102"/>
      <c r="B516" s="78"/>
      <c r="C516" s="78"/>
      <c r="D516" s="78"/>
      <c r="E516" s="78"/>
      <c r="F516" s="78"/>
      <c r="H516" s="78"/>
      <c r="I516" s="78"/>
      <c r="J516" s="78"/>
      <c r="K516" s="78"/>
      <c r="L516" s="78"/>
      <c r="M516" s="78"/>
      <c r="N516" s="78"/>
      <c r="O516" s="78"/>
      <c r="P516" s="78"/>
      <c r="Q516" s="78"/>
      <c r="R516" s="78"/>
      <c r="S516" s="78"/>
      <c r="T516" s="78"/>
      <c r="U516" s="78"/>
      <c r="V516" s="78"/>
      <c r="W516" s="78"/>
      <c r="X516" s="78"/>
      <c r="Y516" s="78"/>
      <c r="Z516" s="78"/>
      <c r="AA516" s="78"/>
      <c r="AB516" s="78"/>
    </row>
    <row r="517" spans="1:28" s="79" customFormat="1" ht="12.6" customHeight="1" x14ac:dyDescent="0.3">
      <c r="A517" s="102"/>
      <c r="B517" s="78"/>
      <c r="C517" s="78"/>
      <c r="D517" s="78"/>
      <c r="E517" s="78"/>
      <c r="F517" s="78"/>
      <c r="H517" s="78"/>
      <c r="I517" s="78"/>
      <c r="J517" s="78"/>
      <c r="K517" s="78"/>
      <c r="L517" s="78"/>
      <c r="M517" s="78"/>
      <c r="N517" s="78"/>
      <c r="O517" s="78"/>
      <c r="P517" s="78"/>
      <c r="Q517" s="78"/>
      <c r="R517" s="78"/>
      <c r="S517" s="78"/>
      <c r="T517" s="78"/>
      <c r="U517" s="78"/>
      <c r="V517" s="78"/>
      <c r="W517" s="78"/>
      <c r="X517" s="78"/>
      <c r="Y517" s="78"/>
      <c r="Z517" s="78"/>
      <c r="AA517" s="78"/>
      <c r="AB517" s="78"/>
    </row>
    <row r="518" spans="1:28" s="79" customFormat="1" ht="12.6" customHeight="1" x14ac:dyDescent="0.3">
      <c r="A518" s="102"/>
      <c r="B518" s="78"/>
      <c r="C518" s="78"/>
      <c r="D518" s="78"/>
      <c r="E518" s="78"/>
      <c r="F518" s="78"/>
      <c r="H518" s="78"/>
      <c r="I518" s="78"/>
      <c r="J518" s="78"/>
      <c r="K518" s="78"/>
      <c r="L518" s="78"/>
      <c r="M518" s="78"/>
      <c r="N518" s="78"/>
      <c r="O518" s="78"/>
      <c r="P518" s="78"/>
      <c r="Q518" s="78"/>
      <c r="R518" s="78"/>
      <c r="S518" s="78"/>
      <c r="T518" s="78"/>
      <c r="U518" s="78"/>
      <c r="V518" s="78"/>
      <c r="W518" s="78"/>
      <c r="X518" s="78"/>
      <c r="Y518" s="78"/>
      <c r="Z518" s="78"/>
      <c r="AA518" s="78"/>
      <c r="AB518" s="78"/>
    </row>
    <row r="519" spans="1:28" s="79" customFormat="1" ht="12.6" customHeight="1" x14ac:dyDescent="0.3">
      <c r="A519" s="102"/>
      <c r="B519" s="78"/>
      <c r="C519" s="78"/>
      <c r="D519" s="78"/>
      <c r="E519" s="78"/>
      <c r="F519" s="78"/>
      <c r="H519" s="78"/>
      <c r="I519" s="78"/>
      <c r="J519" s="78"/>
      <c r="K519" s="78"/>
      <c r="L519" s="78"/>
      <c r="M519" s="78"/>
      <c r="N519" s="78"/>
      <c r="O519" s="78"/>
      <c r="P519" s="78"/>
      <c r="Q519" s="78"/>
      <c r="R519" s="78"/>
      <c r="S519" s="78"/>
      <c r="T519" s="78"/>
      <c r="U519" s="78"/>
      <c r="V519" s="78"/>
      <c r="W519" s="78"/>
      <c r="X519" s="78"/>
      <c r="Y519" s="78"/>
      <c r="Z519" s="78"/>
      <c r="AA519" s="78"/>
      <c r="AB519" s="78"/>
    </row>
    <row r="520" spans="1:28" s="79" customFormat="1" ht="12.6" customHeight="1" x14ac:dyDescent="0.3">
      <c r="A520" s="102"/>
      <c r="B520" s="78"/>
      <c r="C520" s="78"/>
      <c r="D520" s="78"/>
      <c r="E520" s="78"/>
      <c r="F520" s="78"/>
      <c r="H520" s="78"/>
      <c r="I520" s="78"/>
      <c r="J520" s="78"/>
      <c r="K520" s="78"/>
      <c r="L520" s="78"/>
      <c r="M520" s="78"/>
      <c r="N520" s="78"/>
      <c r="O520" s="78"/>
      <c r="P520" s="78"/>
      <c r="Q520" s="78"/>
      <c r="R520" s="78"/>
      <c r="S520" s="78"/>
      <c r="T520" s="78"/>
      <c r="U520" s="78"/>
      <c r="V520" s="78"/>
      <c r="W520" s="78"/>
      <c r="X520" s="78"/>
      <c r="Y520" s="78"/>
      <c r="Z520" s="78"/>
      <c r="AA520" s="78"/>
      <c r="AB520" s="78"/>
    </row>
    <row r="521" spans="1:28" s="79" customFormat="1" ht="12.6" customHeight="1" x14ac:dyDescent="0.3">
      <c r="A521" s="102"/>
      <c r="B521" s="78"/>
      <c r="C521" s="78"/>
      <c r="D521" s="78"/>
      <c r="E521" s="78"/>
      <c r="F521" s="78"/>
      <c r="H521" s="78"/>
      <c r="I521" s="78"/>
      <c r="J521" s="78"/>
      <c r="K521" s="78"/>
      <c r="L521" s="78"/>
      <c r="M521" s="78"/>
      <c r="N521" s="78"/>
      <c r="O521" s="78"/>
      <c r="P521" s="78"/>
      <c r="Q521" s="78"/>
      <c r="R521" s="78"/>
      <c r="S521" s="78"/>
      <c r="T521" s="78"/>
      <c r="U521" s="78"/>
      <c r="V521" s="78"/>
      <c r="W521" s="78"/>
      <c r="X521" s="78"/>
      <c r="Y521" s="78"/>
      <c r="Z521" s="78"/>
      <c r="AA521" s="78"/>
      <c r="AB521" s="78"/>
    </row>
    <row r="522" spans="1:28" s="79" customFormat="1" ht="12.6" customHeight="1" x14ac:dyDescent="0.3">
      <c r="A522" s="102"/>
      <c r="B522" s="78"/>
      <c r="C522" s="78"/>
      <c r="D522" s="78"/>
      <c r="E522" s="78"/>
      <c r="F522" s="78"/>
      <c r="H522" s="78"/>
      <c r="I522" s="78"/>
      <c r="J522" s="78"/>
      <c r="K522" s="78"/>
      <c r="L522" s="78"/>
      <c r="M522" s="78"/>
      <c r="N522" s="78"/>
      <c r="O522" s="78"/>
      <c r="P522" s="78"/>
      <c r="Q522" s="78"/>
      <c r="R522" s="78"/>
      <c r="S522" s="78"/>
      <c r="T522" s="78"/>
      <c r="U522" s="78"/>
      <c r="V522" s="78"/>
      <c r="W522" s="78"/>
      <c r="X522" s="78"/>
      <c r="Y522" s="78"/>
      <c r="Z522" s="78"/>
      <c r="AA522" s="78"/>
      <c r="AB522" s="78"/>
    </row>
    <row r="523" spans="1:28" s="79" customFormat="1" ht="12.6" customHeight="1" x14ac:dyDescent="0.3">
      <c r="A523" s="102"/>
      <c r="B523" s="78"/>
      <c r="C523" s="78"/>
      <c r="D523" s="78"/>
      <c r="E523" s="78"/>
      <c r="F523" s="78"/>
      <c r="H523" s="78"/>
      <c r="I523" s="78"/>
      <c r="J523" s="78"/>
      <c r="K523" s="78"/>
      <c r="L523" s="78"/>
      <c r="M523" s="78"/>
      <c r="N523" s="78"/>
      <c r="O523" s="78"/>
      <c r="P523" s="78"/>
      <c r="Q523" s="78"/>
      <c r="R523" s="78"/>
      <c r="S523" s="78"/>
      <c r="T523" s="78"/>
      <c r="U523" s="78"/>
      <c r="V523" s="78"/>
      <c r="W523" s="78"/>
      <c r="X523" s="78"/>
      <c r="Y523" s="78"/>
      <c r="Z523" s="78"/>
      <c r="AA523" s="78"/>
      <c r="AB523" s="78"/>
    </row>
    <row r="524" spans="1:28" s="79" customFormat="1" ht="12.6" customHeight="1" x14ac:dyDescent="0.3">
      <c r="A524" s="102"/>
      <c r="B524" s="78"/>
      <c r="C524" s="78"/>
      <c r="D524" s="78"/>
      <c r="E524" s="78"/>
      <c r="F524" s="78"/>
      <c r="H524" s="78"/>
      <c r="I524" s="78"/>
      <c r="J524" s="78"/>
      <c r="K524" s="78"/>
      <c r="L524" s="78"/>
      <c r="M524" s="78"/>
      <c r="N524" s="78"/>
      <c r="O524" s="78"/>
      <c r="P524" s="78"/>
      <c r="Q524" s="78"/>
      <c r="R524" s="78"/>
      <c r="S524" s="78"/>
      <c r="T524" s="78"/>
      <c r="U524" s="78"/>
      <c r="V524" s="78"/>
      <c r="W524" s="78"/>
      <c r="X524" s="78"/>
      <c r="Y524" s="78"/>
      <c r="Z524" s="78"/>
      <c r="AA524" s="78"/>
      <c r="AB524" s="78"/>
    </row>
    <row r="525" spans="1:28" s="79" customFormat="1" ht="12.6" customHeight="1" x14ac:dyDescent="0.3">
      <c r="A525" s="102"/>
      <c r="B525" s="78"/>
      <c r="C525" s="78"/>
      <c r="D525" s="78"/>
      <c r="E525" s="78"/>
      <c r="F525" s="78"/>
      <c r="H525" s="78"/>
      <c r="I525" s="78"/>
      <c r="J525" s="78"/>
      <c r="K525" s="78"/>
      <c r="L525" s="78"/>
      <c r="M525" s="78"/>
      <c r="N525" s="78"/>
      <c r="O525" s="78"/>
      <c r="P525" s="78"/>
      <c r="Q525" s="78"/>
      <c r="R525" s="78"/>
      <c r="S525" s="78"/>
      <c r="T525" s="78"/>
      <c r="U525" s="78"/>
      <c r="V525" s="78"/>
      <c r="W525" s="78"/>
      <c r="X525" s="78"/>
      <c r="Y525" s="78"/>
      <c r="Z525" s="78"/>
      <c r="AA525" s="78"/>
      <c r="AB525" s="78"/>
    </row>
    <row r="526" spans="1:28" s="79" customFormat="1" ht="12.6" customHeight="1" x14ac:dyDescent="0.3">
      <c r="A526" s="102"/>
      <c r="B526" s="78"/>
      <c r="C526" s="78"/>
      <c r="D526" s="78"/>
      <c r="E526" s="78"/>
      <c r="F526" s="78"/>
      <c r="H526" s="78"/>
      <c r="I526" s="78"/>
      <c r="J526" s="78"/>
      <c r="K526" s="78"/>
      <c r="L526" s="78"/>
      <c r="M526" s="78"/>
      <c r="N526" s="78"/>
      <c r="O526" s="78"/>
      <c r="P526" s="78"/>
      <c r="Q526" s="78"/>
      <c r="R526" s="78"/>
      <c r="S526" s="78"/>
      <c r="T526" s="78"/>
      <c r="U526" s="78"/>
      <c r="V526" s="78"/>
      <c r="W526" s="78"/>
      <c r="X526" s="78"/>
      <c r="Y526" s="78"/>
      <c r="Z526" s="78"/>
      <c r="AA526" s="78"/>
      <c r="AB526" s="78"/>
    </row>
    <row r="527" spans="1:28" s="79" customFormat="1" ht="12.6" customHeight="1" x14ac:dyDescent="0.3">
      <c r="A527" s="102"/>
      <c r="B527" s="78"/>
      <c r="C527" s="78"/>
      <c r="D527" s="78"/>
      <c r="E527" s="78"/>
      <c r="F527" s="78"/>
      <c r="H527" s="78"/>
      <c r="I527" s="78"/>
      <c r="J527" s="78"/>
      <c r="K527" s="78"/>
      <c r="L527" s="78"/>
      <c r="M527" s="78"/>
      <c r="N527" s="78"/>
      <c r="O527" s="78"/>
      <c r="P527" s="78"/>
      <c r="Q527" s="78"/>
      <c r="R527" s="78"/>
      <c r="S527" s="78"/>
      <c r="T527" s="78"/>
      <c r="U527" s="78"/>
      <c r="V527" s="78"/>
      <c r="W527" s="78"/>
      <c r="X527" s="78"/>
      <c r="Y527" s="78"/>
      <c r="Z527" s="78"/>
      <c r="AA527" s="78"/>
      <c r="AB527" s="78"/>
    </row>
    <row r="528" spans="1:28" s="79" customFormat="1" ht="12.6" customHeight="1" x14ac:dyDescent="0.3">
      <c r="A528" s="102"/>
      <c r="B528" s="78"/>
      <c r="C528" s="78"/>
      <c r="D528" s="78"/>
      <c r="E528" s="78"/>
      <c r="F528" s="78"/>
      <c r="H528" s="78"/>
      <c r="I528" s="78"/>
      <c r="J528" s="78"/>
      <c r="K528" s="78"/>
      <c r="L528" s="78"/>
      <c r="M528" s="78"/>
      <c r="N528" s="78"/>
      <c r="O528" s="78"/>
      <c r="P528" s="78"/>
      <c r="Q528" s="78"/>
      <c r="R528" s="78"/>
      <c r="S528" s="78"/>
      <c r="T528" s="78"/>
      <c r="U528" s="78"/>
      <c r="V528" s="78"/>
      <c r="W528" s="78"/>
      <c r="X528" s="78"/>
      <c r="Y528" s="78"/>
      <c r="Z528" s="78"/>
      <c r="AA528" s="78"/>
      <c r="AB528" s="78"/>
    </row>
    <row r="529" spans="1:28" s="79" customFormat="1" ht="12.6" customHeight="1" x14ac:dyDescent="0.3">
      <c r="A529" s="102"/>
      <c r="B529" s="78"/>
      <c r="C529" s="78"/>
      <c r="D529" s="78"/>
      <c r="E529" s="78"/>
      <c r="F529" s="78"/>
      <c r="H529" s="78"/>
      <c r="I529" s="78"/>
      <c r="J529" s="78"/>
      <c r="K529" s="78"/>
      <c r="L529" s="78"/>
      <c r="M529" s="78"/>
      <c r="N529" s="78"/>
      <c r="O529" s="78"/>
      <c r="P529" s="78"/>
      <c r="Q529" s="78"/>
      <c r="R529" s="78"/>
      <c r="S529" s="78"/>
      <c r="T529" s="78"/>
      <c r="U529" s="78"/>
      <c r="V529" s="78"/>
      <c r="W529" s="78"/>
      <c r="X529" s="78"/>
      <c r="Y529" s="78"/>
      <c r="Z529" s="78"/>
      <c r="AA529" s="78"/>
      <c r="AB529" s="78"/>
    </row>
    <row r="530" spans="1:28" s="79" customFormat="1" ht="12.6" customHeight="1" x14ac:dyDescent="0.3">
      <c r="A530" s="102"/>
      <c r="B530" s="78"/>
      <c r="C530" s="78"/>
      <c r="D530" s="78"/>
      <c r="E530" s="78"/>
      <c r="F530" s="78"/>
      <c r="H530" s="78"/>
      <c r="I530" s="78"/>
      <c r="J530" s="78"/>
      <c r="K530" s="78"/>
      <c r="L530" s="78"/>
      <c r="M530" s="78"/>
      <c r="N530" s="78"/>
      <c r="O530" s="78"/>
      <c r="P530" s="78"/>
      <c r="Q530" s="78"/>
      <c r="R530" s="78"/>
      <c r="S530" s="78"/>
      <c r="T530" s="78"/>
      <c r="U530" s="78"/>
      <c r="V530" s="78"/>
      <c r="W530" s="78"/>
      <c r="X530" s="78"/>
      <c r="Y530" s="78"/>
      <c r="Z530" s="78"/>
      <c r="AA530" s="78"/>
      <c r="AB530" s="78"/>
    </row>
    <row r="531" spans="1:28" s="79" customFormat="1" ht="12.6" customHeight="1" x14ac:dyDescent="0.3">
      <c r="A531" s="102"/>
      <c r="B531" s="78"/>
      <c r="C531" s="78"/>
      <c r="D531" s="78"/>
      <c r="E531" s="78"/>
      <c r="F531" s="78"/>
      <c r="H531" s="78"/>
      <c r="I531" s="78"/>
      <c r="J531" s="78"/>
      <c r="K531" s="78"/>
      <c r="L531" s="78"/>
      <c r="M531" s="78"/>
      <c r="N531" s="78"/>
      <c r="O531" s="78"/>
      <c r="P531" s="78"/>
      <c r="Q531" s="78"/>
      <c r="R531" s="78"/>
      <c r="S531" s="78"/>
      <c r="T531" s="78"/>
      <c r="U531" s="78"/>
      <c r="V531" s="78"/>
      <c r="W531" s="78"/>
      <c r="X531" s="78"/>
      <c r="Y531" s="78"/>
      <c r="Z531" s="78"/>
      <c r="AA531" s="78"/>
      <c r="AB531" s="78"/>
    </row>
    <row r="532" spans="1:28" s="79" customFormat="1" ht="12.6" customHeight="1" x14ac:dyDescent="0.3">
      <c r="A532" s="102"/>
      <c r="B532" s="78"/>
      <c r="C532" s="78"/>
      <c r="D532" s="78"/>
      <c r="E532" s="78"/>
      <c r="F532" s="78"/>
      <c r="H532" s="78"/>
      <c r="I532" s="78"/>
      <c r="J532" s="78"/>
      <c r="K532" s="78"/>
      <c r="L532" s="78"/>
      <c r="M532" s="78"/>
      <c r="N532" s="78"/>
      <c r="O532" s="78"/>
      <c r="P532" s="78"/>
      <c r="Q532" s="78"/>
      <c r="R532" s="78"/>
      <c r="S532" s="78"/>
      <c r="T532" s="78"/>
      <c r="U532" s="78"/>
      <c r="V532" s="78"/>
      <c r="W532" s="78"/>
      <c r="X532" s="78"/>
      <c r="Y532" s="78"/>
      <c r="Z532" s="78"/>
      <c r="AA532" s="78"/>
      <c r="AB532" s="78"/>
    </row>
    <row r="533" spans="1:28" s="79" customFormat="1" ht="12.6" customHeight="1" x14ac:dyDescent="0.3">
      <c r="A533" s="102"/>
      <c r="B533" s="78"/>
      <c r="C533" s="78"/>
      <c r="D533" s="78"/>
      <c r="E533" s="78"/>
      <c r="F533" s="78"/>
      <c r="H533" s="78"/>
      <c r="I533" s="78"/>
      <c r="J533" s="78"/>
      <c r="K533" s="78"/>
      <c r="L533" s="78"/>
      <c r="M533" s="78"/>
      <c r="N533" s="78"/>
      <c r="O533" s="78"/>
      <c r="P533" s="78"/>
      <c r="Q533" s="78"/>
      <c r="R533" s="78"/>
      <c r="S533" s="78"/>
      <c r="T533" s="78"/>
      <c r="U533" s="78"/>
      <c r="V533" s="78"/>
      <c r="W533" s="78"/>
      <c r="X533" s="78"/>
      <c r="Y533" s="78"/>
      <c r="Z533" s="78"/>
      <c r="AA533" s="78"/>
      <c r="AB533" s="78"/>
    </row>
    <row r="534" spans="1:28" s="79" customFormat="1" ht="12.6" customHeight="1" x14ac:dyDescent="0.3">
      <c r="A534" s="102"/>
      <c r="B534" s="78"/>
      <c r="C534" s="78"/>
      <c r="D534" s="78"/>
      <c r="E534" s="78"/>
      <c r="F534" s="78"/>
      <c r="H534" s="78"/>
      <c r="I534" s="78"/>
      <c r="J534" s="78"/>
      <c r="K534" s="78"/>
      <c r="L534" s="78"/>
      <c r="M534" s="78"/>
      <c r="N534" s="78"/>
      <c r="O534" s="78"/>
      <c r="P534" s="78"/>
      <c r="Q534" s="78"/>
      <c r="R534" s="78"/>
      <c r="S534" s="78"/>
      <c r="T534" s="78"/>
      <c r="U534" s="78"/>
      <c r="V534" s="78"/>
      <c r="W534" s="78"/>
      <c r="X534" s="78"/>
      <c r="Y534" s="78"/>
      <c r="Z534" s="78"/>
      <c r="AA534" s="78"/>
      <c r="AB534" s="78"/>
    </row>
    <row r="535" spans="1:28" s="79" customFormat="1" ht="12.6" customHeight="1" x14ac:dyDescent="0.3">
      <c r="A535" s="102"/>
      <c r="B535" s="78"/>
      <c r="C535" s="78"/>
      <c r="D535" s="78"/>
      <c r="E535" s="78"/>
      <c r="F535" s="78"/>
      <c r="H535" s="78"/>
      <c r="I535" s="78"/>
      <c r="J535" s="78"/>
      <c r="K535" s="78"/>
      <c r="L535" s="78"/>
      <c r="M535" s="78"/>
      <c r="N535" s="78"/>
      <c r="O535" s="78"/>
      <c r="P535" s="78"/>
      <c r="Q535" s="78"/>
      <c r="R535" s="78"/>
      <c r="S535" s="78"/>
      <c r="T535" s="78"/>
      <c r="U535" s="78"/>
      <c r="V535" s="78"/>
      <c r="W535" s="78"/>
      <c r="X535" s="78"/>
      <c r="Y535" s="78"/>
      <c r="Z535" s="78"/>
      <c r="AA535" s="78"/>
      <c r="AB535" s="78"/>
    </row>
    <row r="536" spans="1:28" s="79" customFormat="1" ht="12.6" customHeight="1" x14ac:dyDescent="0.3">
      <c r="A536" s="102"/>
      <c r="B536" s="78"/>
      <c r="C536" s="78"/>
      <c r="D536" s="78"/>
      <c r="E536" s="78"/>
      <c r="F536" s="78"/>
      <c r="H536" s="78"/>
      <c r="I536" s="78"/>
      <c r="J536" s="78"/>
      <c r="K536" s="78"/>
      <c r="L536" s="78"/>
      <c r="M536" s="78"/>
      <c r="N536" s="78"/>
      <c r="O536" s="78"/>
      <c r="P536" s="78"/>
      <c r="Q536" s="78"/>
      <c r="R536" s="78"/>
      <c r="S536" s="78"/>
      <c r="T536" s="78"/>
      <c r="U536" s="78"/>
      <c r="V536" s="78"/>
      <c r="W536" s="78"/>
      <c r="X536" s="78"/>
      <c r="Y536" s="78"/>
      <c r="Z536" s="78"/>
      <c r="AA536" s="78"/>
      <c r="AB536" s="78"/>
    </row>
    <row r="537" spans="1:28" s="79" customFormat="1" ht="12.6" customHeight="1" x14ac:dyDescent="0.3">
      <c r="A537" s="102"/>
      <c r="B537" s="78"/>
      <c r="C537" s="78"/>
      <c r="D537" s="78"/>
      <c r="E537" s="78"/>
      <c r="F537" s="78"/>
      <c r="H537" s="78"/>
      <c r="I537" s="78"/>
      <c r="J537" s="78"/>
      <c r="K537" s="78"/>
      <c r="L537" s="78"/>
      <c r="M537" s="78"/>
      <c r="N537" s="78"/>
      <c r="O537" s="78"/>
      <c r="P537" s="78"/>
      <c r="Q537" s="78"/>
      <c r="R537" s="78"/>
      <c r="S537" s="78"/>
      <c r="T537" s="78"/>
      <c r="U537" s="78"/>
      <c r="V537" s="78"/>
      <c r="W537" s="78"/>
      <c r="X537" s="78"/>
      <c r="Y537" s="78"/>
      <c r="Z537" s="78"/>
      <c r="AA537" s="78"/>
      <c r="AB537" s="78"/>
    </row>
    <row r="538" spans="1:28" s="79" customFormat="1" ht="12.6" customHeight="1" x14ac:dyDescent="0.3">
      <c r="A538" s="102"/>
      <c r="B538" s="78"/>
      <c r="C538" s="78"/>
      <c r="D538" s="78"/>
      <c r="E538" s="78"/>
      <c r="F538" s="78"/>
      <c r="H538" s="78"/>
      <c r="I538" s="78"/>
      <c r="J538" s="78"/>
      <c r="K538" s="78"/>
      <c r="L538" s="78"/>
      <c r="M538" s="78"/>
      <c r="N538" s="78"/>
      <c r="O538" s="78"/>
      <c r="P538" s="78"/>
      <c r="Q538" s="78"/>
      <c r="R538" s="78"/>
      <c r="S538" s="78"/>
      <c r="T538" s="78"/>
      <c r="U538" s="78"/>
      <c r="V538" s="78"/>
      <c r="W538" s="78"/>
      <c r="X538" s="78"/>
      <c r="Y538" s="78"/>
      <c r="Z538" s="78"/>
      <c r="AA538" s="78"/>
      <c r="AB538" s="78"/>
    </row>
    <row r="539" spans="1:28" s="79" customFormat="1" ht="12.6" customHeight="1" x14ac:dyDescent="0.3">
      <c r="A539" s="102"/>
      <c r="B539" s="78"/>
      <c r="C539" s="78"/>
      <c r="D539" s="78"/>
      <c r="E539" s="78"/>
      <c r="F539" s="78"/>
      <c r="H539" s="78"/>
      <c r="I539" s="78"/>
      <c r="J539" s="78"/>
      <c r="K539" s="78"/>
      <c r="L539" s="78"/>
      <c r="M539" s="78"/>
      <c r="N539" s="78"/>
      <c r="O539" s="78"/>
      <c r="P539" s="78"/>
      <c r="Q539" s="78"/>
      <c r="R539" s="78"/>
      <c r="S539" s="78"/>
      <c r="T539" s="78"/>
      <c r="U539" s="78"/>
      <c r="V539" s="78"/>
      <c r="W539" s="78"/>
      <c r="X539" s="78"/>
      <c r="Y539" s="78"/>
      <c r="Z539" s="78"/>
      <c r="AA539" s="78"/>
      <c r="AB539" s="78"/>
    </row>
    <row r="540" spans="1:28" s="79" customFormat="1" ht="12.6" customHeight="1" x14ac:dyDescent="0.3">
      <c r="A540" s="102"/>
      <c r="B540" s="78"/>
      <c r="C540" s="78"/>
      <c r="D540" s="78"/>
      <c r="E540" s="78"/>
      <c r="F540" s="78"/>
      <c r="H540" s="78"/>
      <c r="I540" s="78"/>
      <c r="J540" s="78"/>
      <c r="K540" s="78"/>
      <c r="L540" s="78"/>
      <c r="M540" s="78"/>
      <c r="N540" s="78"/>
      <c r="O540" s="78"/>
      <c r="P540" s="78"/>
      <c r="Q540" s="78"/>
      <c r="R540" s="78"/>
      <c r="S540" s="78"/>
      <c r="T540" s="78"/>
      <c r="U540" s="78"/>
      <c r="V540" s="78"/>
      <c r="W540" s="78"/>
      <c r="X540" s="78"/>
      <c r="Y540" s="78"/>
      <c r="Z540" s="78"/>
      <c r="AA540" s="78"/>
      <c r="AB540" s="78"/>
    </row>
    <row r="541" spans="1:28" s="79" customFormat="1" ht="12.6" customHeight="1" x14ac:dyDescent="0.3">
      <c r="A541" s="102"/>
      <c r="B541" s="78"/>
      <c r="C541" s="78"/>
      <c r="D541" s="78"/>
      <c r="E541" s="78"/>
      <c r="F541" s="78"/>
      <c r="H541" s="78"/>
      <c r="I541" s="78"/>
      <c r="J541" s="78"/>
      <c r="K541" s="78"/>
      <c r="L541" s="78"/>
      <c r="M541" s="78"/>
      <c r="N541" s="78"/>
      <c r="O541" s="78"/>
      <c r="P541" s="78"/>
      <c r="Q541" s="78"/>
      <c r="R541" s="78"/>
      <c r="S541" s="78"/>
      <c r="T541" s="78"/>
      <c r="U541" s="78"/>
      <c r="V541" s="78"/>
      <c r="W541" s="78"/>
      <c r="X541" s="78"/>
      <c r="Y541" s="78"/>
      <c r="Z541" s="78"/>
      <c r="AA541" s="78"/>
      <c r="AB541" s="78"/>
    </row>
    <row r="542" spans="1:28" s="79" customFormat="1" ht="12.6" customHeight="1" x14ac:dyDescent="0.3">
      <c r="A542" s="102"/>
      <c r="B542" s="78"/>
      <c r="C542" s="78"/>
      <c r="D542" s="78"/>
      <c r="E542" s="78"/>
      <c r="F542" s="78"/>
      <c r="H542" s="78"/>
      <c r="I542" s="78"/>
      <c r="J542" s="78"/>
      <c r="K542" s="78"/>
      <c r="L542" s="78"/>
      <c r="M542" s="78"/>
      <c r="N542" s="78"/>
      <c r="O542" s="78"/>
      <c r="P542" s="78"/>
      <c r="Q542" s="78"/>
      <c r="R542" s="78"/>
      <c r="S542" s="78"/>
      <c r="T542" s="78"/>
      <c r="U542" s="78"/>
      <c r="V542" s="78"/>
      <c r="W542" s="78"/>
      <c r="X542" s="78"/>
      <c r="Y542" s="78"/>
      <c r="Z542" s="78"/>
      <c r="AA542" s="78"/>
      <c r="AB542" s="78"/>
    </row>
    <row r="543" spans="1:28" s="79" customFormat="1" ht="12.6" customHeight="1" x14ac:dyDescent="0.3">
      <c r="A543" s="102"/>
      <c r="B543" s="78"/>
      <c r="C543" s="78"/>
      <c r="D543" s="78"/>
      <c r="E543" s="78"/>
      <c r="F543" s="78"/>
      <c r="H543" s="78"/>
      <c r="I543" s="78"/>
      <c r="J543" s="78"/>
      <c r="K543" s="78"/>
      <c r="L543" s="78"/>
      <c r="M543" s="78"/>
      <c r="N543" s="78"/>
      <c r="O543" s="78"/>
      <c r="P543" s="78"/>
      <c r="Q543" s="78"/>
      <c r="R543" s="78"/>
      <c r="S543" s="78"/>
      <c r="T543" s="78"/>
      <c r="U543" s="78"/>
      <c r="V543" s="78"/>
      <c r="W543" s="78"/>
      <c r="X543" s="78"/>
      <c r="Y543" s="78"/>
      <c r="Z543" s="78"/>
      <c r="AA543" s="78"/>
      <c r="AB543" s="78"/>
    </row>
    <row r="544" spans="1:28" s="79" customFormat="1" ht="12.6" customHeight="1" x14ac:dyDescent="0.3">
      <c r="A544" s="102"/>
      <c r="B544" s="78"/>
      <c r="C544" s="78"/>
      <c r="D544" s="78"/>
      <c r="E544" s="78"/>
      <c r="F544" s="78"/>
      <c r="H544" s="78"/>
      <c r="I544" s="78"/>
      <c r="J544" s="78"/>
      <c r="K544" s="78"/>
      <c r="L544" s="78"/>
      <c r="M544" s="78"/>
      <c r="N544" s="78"/>
      <c r="O544" s="78"/>
      <c r="P544" s="78"/>
      <c r="Q544" s="78"/>
      <c r="R544" s="78"/>
      <c r="S544" s="78"/>
      <c r="T544" s="78"/>
      <c r="U544" s="78"/>
      <c r="V544" s="78"/>
      <c r="W544" s="78"/>
      <c r="X544" s="78"/>
      <c r="Y544" s="78"/>
      <c r="Z544" s="78"/>
      <c r="AA544" s="78"/>
      <c r="AB544" s="78"/>
    </row>
    <row r="545" spans="1:28" s="79" customFormat="1" ht="12.6" customHeight="1" x14ac:dyDescent="0.3">
      <c r="A545" s="102"/>
      <c r="B545" s="78"/>
      <c r="C545" s="78"/>
      <c r="D545" s="78"/>
      <c r="E545" s="78"/>
      <c r="F545" s="78"/>
      <c r="H545" s="78"/>
      <c r="I545" s="78"/>
      <c r="J545" s="78"/>
      <c r="K545" s="78"/>
      <c r="L545" s="78"/>
      <c r="M545" s="78"/>
      <c r="N545" s="78"/>
      <c r="O545" s="78"/>
      <c r="P545" s="78"/>
      <c r="Q545" s="78"/>
      <c r="R545" s="78"/>
      <c r="S545" s="78"/>
      <c r="T545" s="78"/>
      <c r="U545" s="78"/>
      <c r="V545" s="78"/>
      <c r="W545" s="78"/>
      <c r="X545" s="78"/>
      <c r="Y545" s="78"/>
      <c r="Z545" s="78"/>
      <c r="AA545" s="78"/>
      <c r="AB545" s="78"/>
    </row>
    <row r="546" spans="1:28" s="79" customFormat="1" ht="12.6" customHeight="1" x14ac:dyDescent="0.3">
      <c r="A546" s="102"/>
      <c r="B546" s="78"/>
      <c r="C546" s="78"/>
      <c r="D546" s="78"/>
      <c r="E546" s="78"/>
      <c r="F546" s="78"/>
      <c r="H546" s="78"/>
      <c r="I546" s="78"/>
      <c r="J546" s="78"/>
      <c r="K546" s="78"/>
      <c r="L546" s="78"/>
      <c r="M546" s="78"/>
      <c r="N546" s="78"/>
      <c r="O546" s="78"/>
      <c r="P546" s="78"/>
      <c r="Q546" s="78"/>
      <c r="R546" s="78"/>
      <c r="S546" s="78"/>
      <c r="T546" s="78"/>
      <c r="U546" s="78"/>
      <c r="V546" s="78"/>
      <c r="W546" s="78"/>
      <c r="X546" s="78"/>
      <c r="Y546" s="78"/>
      <c r="Z546" s="78"/>
      <c r="AA546" s="78"/>
      <c r="AB546" s="78"/>
    </row>
    <row r="547" spans="1:28" s="79" customFormat="1" ht="12.6" customHeight="1" x14ac:dyDescent="0.3">
      <c r="A547" s="102"/>
      <c r="B547" s="78"/>
      <c r="C547" s="78"/>
      <c r="D547" s="78"/>
      <c r="E547" s="78"/>
      <c r="F547" s="78"/>
      <c r="H547" s="78"/>
      <c r="I547" s="78"/>
      <c r="J547" s="78"/>
      <c r="K547" s="78"/>
      <c r="L547" s="78"/>
      <c r="M547" s="78"/>
      <c r="N547" s="78"/>
      <c r="O547" s="78"/>
      <c r="P547" s="78"/>
      <c r="Q547" s="78"/>
      <c r="R547" s="78"/>
      <c r="S547" s="78"/>
      <c r="T547" s="78"/>
      <c r="U547" s="78"/>
      <c r="V547" s="78"/>
      <c r="W547" s="78"/>
      <c r="X547" s="78"/>
      <c r="Y547" s="78"/>
      <c r="Z547" s="78"/>
      <c r="AA547" s="78"/>
      <c r="AB547" s="78"/>
    </row>
    <row r="548" spans="1:28" s="79" customFormat="1" ht="12.6" customHeight="1" x14ac:dyDescent="0.3">
      <c r="A548" s="102"/>
      <c r="B548" s="78"/>
      <c r="C548" s="78"/>
      <c r="D548" s="78"/>
      <c r="E548" s="78"/>
      <c r="F548" s="78"/>
      <c r="H548" s="78"/>
      <c r="I548" s="78"/>
      <c r="J548" s="78"/>
      <c r="K548" s="78"/>
      <c r="L548" s="78"/>
      <c r="M548" s="78"/>
      <c r="N548" s="78"/>
      <c r="O548" s="78"/>
      <c r="P548" s="78"/>
      <c r="Q548" s="78"/>
      <c r="R548" s="78"/>
      <c r="S548" s="78"/>
      <c r="T548" s="78"/>
      <c r="U548" s="78"/>
      <c r="V548" s="78"/>
      <c r="W548" s="78"/>
      <c r="X548" s="78"/>
      <c r="Y548" s="78"/>
      <c r="Z548" s="78"/>
      <c r="AA548" s="78"/>
      <c r="AB548" s="78"/>
    </row>
    <row r="549" spans="1:28" s="79" customFormat="1" ht="12.6" customHeight="1" x14ac:dyDescent="0.3">
      <c r="A549" s="102"/>
      <c r="B549" s="78"/>
      <c r="C549" s="78"/>
      <c r="D549" s="78"/>
      <c r="E549" s="78"/>
      <c r="F549" s="78"/>
      <c r="H549" s="78"/>
      <c r="I549" s="78"/>
      <c r="J549" s="78"/>
      <c r="K549" s="78"/>
      <c r="L549" s="78"/>
      <c r="M549" s="78"/>
      <c r="N549" s="78"/>
      <c r="O549" s="78"/>
      <c r="P549" s="78"/>
      <c r="Q549" s="78"/>
      <c r="R549" s="78"/>
      <c r="S549" s="78"/>
      <c r="T549" s="78"/>
      <c r="U549" s="78"/>
      <c r="V549" s="78"/>
      <c r="W549" s="78"/>
      <c r="X549" s="78"/>
      <c r="Y549" s="78"/>
      <c r="Z549" s="78"/>
      <c r="AA549" s="78"/>
      <c r="AB549" s="78"/>
    </row>
    <row r="550" spans="1:28" s="79" customFormat="1" ht="12.6" customHeight="1" x14ac:dyDescent="0.3">
      <c r="A550" s="102"/>
      <c r="B550" s="78"/>
      <c r="C550" s="78"/>
      <c r="D550" s="78"/>
      <c r="E550" s="78"/>
      <c r="F550" s="78"/>
      <c r="H550" s="78"/>
      <c r="I550" s="78"/>
      <c r="J550" s="78"/>
      <c r="K550" s="78"/>
      <c r="L550" s="78"/>
      <c r="M550" s="78"/>
      <c r="N550" s="78"/>
      <c r="O550" s="78"/>
      <c r="P550" s="78"/>
      <c r="Q550" s="78"/>
      <c r="R550" s="78"/>
      <c r="S550" s="78"/>
      <c r="T550" s="78"/>
      <c r="U550" s="78"/>
      <c r="V550" s="78"/>
      <c r="W550" s="78"/>
      <c r="X550" s="78"/>
      <c r="Y550" s="78"/>
      <c r="Z550" s="78"/>
      <c r="AA550" s="78"/>
      <c r="AB550" s="78"/>
    </row>
    <row r="551" spans="1:28" s="79" customFormat="1" ht="12.6" customHeight="1" x14ac:dyDescent="0.3">
      <c r="A551" s="102"/>
      <c r="B551" s="78"/>
      <c r="C551" s="78"/>
      <c r="D551" s="78"/>
      <c r="E551" s="78"/>
      <c r="F551" s="78"/>
      <c r="H551" s="78"/>
      <c r="I551" s="78"/>
      <c r="J551" s="78"/>
      <c r="K551" s="78"/>
      <c r="L551" s="78"/>
      <c r="M551" s="78"/>
      <c r="N551" s="78"/>
      <c r="O551" s="78"/>
      <c r="P551" s="78"/>
      <c r="Q551" s="78"/>
      <c r="R551" s="78"/>
      <c r="S551" s="78"/>
      <c r="T551" s="78"/>
      <c r="U551" s="78"/>
      <c r="V551" s="78"/>
      <c r="W551" s="78"/>
      <c r="X551" s="78"/>
      <c r="Y551" s="78"/>
      <c r="Z551" s="78"/>
      <c r="AA551" s="78"/>
      <c r="AB551" s="78"/>
    </row>
    <row r="552" spans="1:28" s="79" customFormat="1" ht="12.6" customHeight="1" x14ac:dyDescent="0.3">
      <c r="A552" s="102"/>
      <c r="B552" s="78"/>
      <c r="C552" s="78"/>
      <c r="D552" s="78"/>
      <c r="E552" s="78"/>
      <c r="F552" s="78"/>
      <c r="H552" s="78"/>
      <c r="I552" s="78"/>
      <c r="J552" s="78"/>
      <c r="K552" s="78"/>
      <c r="L552" s="78"/>
      <c r="M552" s="78"/>
      <c r="N552" s="78"/>
      <c r="O552" s="78"/>
      <c r="P552" s="78"/>
      <c r="Q552" s="78"/>
      <c r="R552" s="78"/>
      <c r="S552" s="78"/>
      <c r="T552" s="78"/>
      <c r="U552" s="78"/>
      <c r="V552" s="78"/>
      <c r="W552" s="78"/>
      <c r="X552" s="78"/>
      <c r="Y552" s="78"/>
      <c r="Z552" s="78"/>
      <c r="AA552" s="78"/>
      <c r="AB552" s="78"/>
    </row>
    <row r="553" spans="1:28" s="79" customFormat="1" ht="12.6" customHeight="1" x14ac:dyDescent="0.3">
      <c r="A553" s="102"/>
      <c r="B553" s="78"/>
      <c r="C553" s="78"/>
      <c r="D553" s="78"/>
      <c r="E553" s="78"/>
      <c r="F553" s="78"/>
      <c r="H553" s="78"/>
      <c r="I553" s="78"/>
      <c r="J553" s="78"/>
      <c r="K553" s="78"/>
      <c r="L553" s="78"/>
      <c r="M553" s="78"/>
      <c r="N553" s="78"/>
      <c r="O553" s="78"/>
      <c r="P553" s="78"/>
      <c r="Q553" s="78"/>
      <c r="R553" s="78"/>
      <c r="S553" s="78"/>
      <c r="T553" s="78"/>
      <c r="U553" s="78"/>
      <c r="V553" s="78"/>
      <c r="W553" s="78"/>
      <c r="X553" s="78"/>
      <c r="Y553" s="78"/>
      <c r="Z553" s="78"/>
      <c r="AA553" s="78"/>
      <c r="AB553" s="78"/>
    </row>
    <row r="554" spans="1:28" s="79" customFormat="1" ht="12.6" customHeight="1" x14ac:dyDescent="0.3">
      <c r="A554" s="102"/>
      <c r="B554" s="78"/>
      <c r="C554" s="78"/>
      <c r="D554" s="78"/>
      <c r="E554" s="78"/>
      <c r="F554" s="78"/>
      <c r="H554" s="78"/>
      <c r="I554" s="78"/>
      <c r="J554" s="78"/>
      <c r="K554" s="78"/>
      <c r="L554" s="78"/>
      <c r="M554" s="78"/>
      <c r="N554" s="78"/>
      <c r="O554" s="78"/>
      <c r="P554" s="78"/>
      <c r="Q554" s="78"/>
      <c r="R554" s="78"/>
      <c r="S554" s="78"/>
      <c r="T554" s="78"/>
      <c r="U554" s="78"/>
      <c r="V554" s="78"/>
      <c r="W554" s="78"/>
      <c r="X554" s="78"/>
      <c r="Y554" s="78"/>
      <c r="Z554" s="78"/>
      <c r="AA554" s="78"/>
      <c r="AB554" s="78"/>
    </row>
    <row r="555" spans="1:28" s="79" customFormat="1" ht="12.6" customHeight="1" x14ac:dyDescent="0.3">
      <c r="A555" s="102"/>
      <c r="B555" s="78"/>
      <c r="C555" s="78"/>
      <c r="D555" s="78"/>
      <c r="E555" s="78"/>
      <c r="F555" s="78"/>
      <c r="H555" s="78"/>
      <c r="I555" s="78"/>
      <c r="J555" s="78"/>
      <c r="K555" s="78"/>
      <c r="L555" s="78"/>
      <c r="M555" s="78"/>
      <c r="N555" s="78"/>
      <c r="O555" s="78"/>
      <c r="P555" s="78"/>
      <c r="Q555" s="78"/>
      <c r="R555" s="78"/>
      <c r="S555" s="78"/>
      <c r="T555" s="78"/>
      <c r="U555" s="78"/>
      <c r="V555" s="78"/>
      <c r="W555" s="78"/>
      <c r="X555" s="78"/>
      <c r="Y555" s="78"/>
      <c r="Z555" s="78"/>
      <c r="AA555" s="78"/>
      <c r="AB555" s="78"/>
    </row>
    <row r="556" spans="1:28" s="79" customFormat="1" ht="12.6" customHeight="1" x14ac:dyDescent="0.3">
      <c r="A556" s="102"/>
      <c r="B556" s="78"/>
      <c r="C556" s="78"/>
      <c r="D556" s="78"/>
      <c r="E556" s="78"/>
      <c r="F556" s="78"/>
      <c r="H556" s="78"/>
      <c r="I556" s="78"/>
      <c r="J556" s="78"/>
      <c r="K556" s="78"/>
      <c r="L556" s="78"/>
      <c r="M556" s="78"/>
      <c r="N556" s="78"/>
      <c r="O556" s="78"/>
      <c r="P556" s="78"/>
      <c r="Q556" s="78"/>
      <c r="R556" s="78"/>
      <c r="S556" s="78"/>
      <c r="T556" s="78"/>
      <c r="U556" s="78"/>
      <c r="V556" s="78"/>
      <c r="W556" s="78"/>
      <c r="X556" s="78"/>
      <c r="Y556" s="78"/>
      <c r="Z556" s="78"/>
      <c r="AA556" s="78"/>
      <c r="AB556" s="78"/>
    </row>
    <row r="557" spans="1:28" s="79" customFormat="1" ht="12.6" customHeight="1" x14ac:dyDescent="0.3">
      <c r="A557" s="102"/>
      <c r="B557" s="78"/>
      <c r="C557" s="78"/>
      <c r="D557" s="78"/>
      <c r="E557" s="78"/>
      <c r="F557" s="78"/>
      <c r="H557" s="78"/>
      <c r="I557" s="78"/>
      <c r="J557" s="78"/>
      <c r="K557" s="78"/>
      <c r="L557" s="78"/>
      <c r="M557" s="78"/>
      <c r="N557" s="78"/>
      <c r="O557" s="78"/>
      <c r="P557" s="78"/>
      <c r="Q557" s="78"/>
      <c r="R557" s="78"/>
      <c r="S557" s="78"/>
      <c r="T557" s="78"/>
      <c r="U557" s="78"/>
      <c r="V557" s="78"/>
      <c r="W557" s="78"/>
      <c r="X557" s="78"/>
      <c r="Y557" s="78"/>
      <c r="Z557" s="78"/>
      <c r="AA557" s="78"/>
      <c r="AB557" s="78"/>
    </row>
    <row r="558" spans="1:28" s="79" customFormat="1" ht="12.6" customHeight="1" x14ac:dyDescent="0.3">
      <c r="A558" s="102"/>
      <c r="B558" s="78"/>
      <c r="C558" s="78"/>
      <c r="D558" s="78"/>
      <c r="E558" s="78"/>
      <c r="F558" s="78"/>
      <c r="H558" s="78"/>
      <c r="I558" s="78"/>
      <c r="J558" s="78"/>
      <c r="K558" s="78"/>
      <c r="L558" s="78"/>
      <c r="M558" s="78"/>
      <c r="N558" s="78"/>
      <c r="O558" s="78"/>
      <c r="P558" s="78"/>
      <c r="Q558" s="78"/>
      <c r="R558" s="78"/>
      <c r="S558" s="78"/>
      <c r="T558" s="78"/>
      <c r="U558" s="78"/>
      <c r="V558" s="78"/>
      <c r="W558" s="78"/>
      <c r="X558" s="78"/>
      <c r="Y558" s="78"/>
      <c r="Z558" s="78"/>
      <c r="AA558" s="78"/>
      <c r="AB558" s="78"/>
    </row>
    <row r="559" spans="1:28" s="79" customFormat="1" ht="12.6" customHeight="1" x14ac:dyDescent="0.3">
      <c r="A559" s="102"/>
      <c r="B559" s="78"/>
      <c r="C559" s="78"/>
      <c r="D559" s="78"/>
      <c r="E559" s="78"/>
      <c r="F559" s="78"/>
      <c r="H559" s="78"/>
      <c r="I559" s="78"/>
      <c r="J559" s="78"/>
      <c r="K559" s="78"/>
      <c r="L559" s="78"/>
      <c r="M559" s="78"/>
      <c r="N559" s="78"/>
      <c r="O559" s="78"/>
      <c r="P559" s="78"/>
      <c r="Q559" s="78"/>
      <c r="R559" s="78"/>
      <c r="S559" s="78"/>
      <c r="T559" s="78"/>
      <c r="U559" s="78"/>
      <c r="V559" s="78"/>
      <c r="W559" s="78"/>
      <c r="X559" s="78"/>
      <c r="Y559" s="78"/>
      <c r="Z559" s="78"/>
      <c r="AA559" s="78"/>
      <c r="AB559" s="78"/>
    </row>
    <row r="560" spans="1:28" s="79" customFormat="1" ht="12.6" customHeight="1" x14ac:dyDescent="0.3">
      <c r="A560" s="102"/>
      <c r="B560" s="78"/>
      <c r="C560" s="78"/>
      <c r="D560" s="78"/>
      <c r="E560" s="78"/>
      <c r="F560" s="78"/>
      <c r="H560" s="78"/>
      <c r="I560" s="78"/>
      <c r="J560" s="78"/>
      <c r="K560" s="78"/>
      <c r="L560" s="78"/>
      <c r="M560" s="78"/>
      <c r="N560" s="78"/>
      <c r="O560" s="78"/>
      <c r="P560" s="78"/>
      <c r="Q560" s="78"/>
      <c r="R560" s="78"/>
      <c r="S560" s="78"/>
      <c r="T560" s="78"/>
      <c r="U560" s="78"/>
      <c r="V560" s="78"/>
      <c r="W560" s="78"/>
      <c r="X560" s="78"/>
      <c r="Y560" s="78"/>
      <c r="Z560" s="78"/>
      <c r="AA560" s="78"/>
      <c r="AB560" s="78"/>
    </row>
    <row r="561" spans="1:28" s="79" customFormat="1" ht="12.6" customHeight="1" x14ac:dyDescent="0.3">
      <c r="A561" s="102"/>
      <c r="B561" s="78"/>
      <c r="C561" s="78"/>
      <c r="D561" s="78"/>
      <c r="E561" s="78"/>
      <c r="F561" s="78"/>
      <c r="H561" s="78"/>
      <c r="I561" s="78"/>
      <c r="J561" s="78"/>
      <c r="K561" s="78"/>
      <c r="L561" s="78"/>
      <c r="M561" s="78"/>
      <c r="N561" s="78"/>
      <c r="O561" s="78"/>
      <c r="P561" s="78"/>
      <c r="Q561" s="78"/>
      <c r="R561" s="78"/>
      <c r="S561" s="78"/>
      <c r="T561" s="78"/>
      <c r="U561" s="78"/>
      <c r="V561" s="78"/>
      <c r="W561" s="78"/>
      <c r="X561" s="78"/>
      <c r="Y561" s="78"/>
      <c r="Z561" s="78"/>
      <c r="AA561" s="78"/>
      <c r="AB561" s="78"/>
    </row>
    <row r="562" spans="1:28" s="79" customFormat="1" ht="12.6" customHeight="1" x14ac:dyDescent="0.3">
      <c r="A562" s="102"/>
      <c r="B562" s="78"/>
      <c r="C562" s="78"/>
      <c r="D562" s="78"/>
      <c r="E562" s="78"/>
      <c r="F562" s="78"/>
      <c r="H562" s="78"/>
      <c r="I562" s="78"/>
      <c r="J562" s="78"/>
      <c r="K562" s="78"/>
      <c r="L562" s="78"/>
      <c r="M562" s="78"/>
      <c r="N562" s="78"/>
      <c r="O562" s="78"/>
      <c r="P562" s="78"/>
      <c r="Q562" s="78"/>
      <c r="R562" s="78"/>
      <c r="S562" s="78"/>
      <c r="T562" s="78"/>
      <c r="U562" s="78"/>
      <c r="V562" s="78"/>
      <c r="W562" s="78"/>
      <c r="X562" s="78"/>
      <c r="Y562" s="78"/>
      <c r="Z562" s="78"/>
      <c r="AA562" s="78"/>
      <c r="AB562" s="78"/>
    </row>
    <row r="563" spans="1:28" s="79" customFormat="1" ht="12.6" customHeight="1" x14ac:dyDescent="0.3">
      <c r="A563" s="102"/>
      <c r="B563" s="78"/>
      <c r="C563" s="78"/>
      <c r="D563" s="78"/>
      <c r="E563" s="78"/>
      <c r="F563" s="78"/>
      <c r="H563" s="78"/>
      <c r="I563" s="78"/>
      <c r="J563" s="78"/>
      <c r="K563" s="78"/>
      <c r="L563" s="78"/>
      <c r="M563" s="78"/>
      <c r="N563" s="78"/>
      <c r="O563" s="78"/>
      <c r="P563" s="78"/>
      <c r="Q563" s="78"/>
      <c r="R563" s="78"/>
      <c r="S563" s="78"/>
      <c r="T563" s="78"/>
      <c r="U563" s="78"/>
      <c r="V563" s="78"/>
      <c r="W563" s="78"/>
      <c r="X563" s="78"/>
      <c r="Y563" s="78"/>
      <c r="Z563" s="78"/>
      <c r="AA563" s="78"/>
      <c r="AB563" s="78"/>
    </row>
    <row r="564" spans="1:28" s="79" customFormat="1" ht="12.6" customHeight="1" x14ac:dyDescent="0.3">
      <c r="A564" s="102"/>
      <c r="B564" s="78"/>
      <c r="C564" s="78"/>
      <c r="D564" s="78"/>
      <c r="E564" s="78"/>
      <c r="F564" s="78"/>
      <c r="H564" s="78"/>
      <c r="I564" s="78"/>
      <c r="J564" s="78"/>
      <c r="K564" s="78"/>
      <c r="L564" s="78"/>
      <c r="M564" s="78"/>
      <c r="N564" s="78"/>
      <c r="O564" s="78"/>
      <c r="P564" s="78"/>
      <c r="Q564" s="78"/>
      <c r="R564" s="78"/>
      <c r="S564" s="78"/>
      <c r="T564" s="78"/>
      <c r="U564" s="78"/>
      <c r="V564" s="78"/>
      <c r="W564" s="78"/>
      <c r="X564" s="78"/>
      <c r="Y564" s="78"/>
      <c r="Z564" s="78"/>
      <c r="AA564" s="78"/>
      <c r="AB564" s="78"/>
    </row>
    <row r="565" spans="1:28" s="79" customFormat="1" ht="12.6" customHeight="1" x14ac:dyDescent="0.3">
      <c r="A565" s="102"/>
      <c r="B565" s="78"/>
      <c r="C565" s="78"/>
      <c r="D565" s="78"/>
      <c r="E565" s="78"/>
      <c r="F565" s="78"/>
      <c r="H565" s="78"/>
      <c r="I565" s="78"/>
      <c r="J565" s="78"/>
      <c r="K565" s="78"/>
      <c r="L565" s="78"/>
      <c r="M565" s="78"/>
      <c r="N565" s="78"/>
      <c r="O565" s="78"/>
      <c r="P565" s="78"/>
      <c r="Q565" s="78"/>
      <c r="R565" s="78"/>
      <c r="S565" s="78"/>
      <c r="T565" s="78"/>
      <c r="U565" s="78"/>
      <c r="V565" s="78"/>
      <c r="W565" s="78"/>
      <c r="X565" s="78"/>
      <c r="Y565" s="78"/>
      <c r="Z565" s="78"/>
      <c r="AA565" s="78"/>
      <c r="AB565" s="78"/>
    </row>
    <row r="566" spans="1:28" s="79" customFormat="1" ht="12.6" customHeight="1" x14ac:dyDescent="0.3">
      <c r="A566" s="102"/>
      <c r="B566" s="78"/>
      <c r="C566" s="78"/>
      <c r="D566" s="78"/>
      <c r="E566" s="78"/>
      <c r="F566" s="78"/>
      <c r="H566" s="78"/>
      <c r="I566" s="78"/>
      <c r="J566" s="78"/>
      <c r="K566" s="78"/>
      <c r="L566" s="78"/>
      <c r="M566" s="78"/>
      <c r="N566" s="78"/>
      <c r="O566" s="78"/>
      <c r="P566" s="78"/>
      <c r="Q566" s="78"/>
      <c r="R566" s="78"/>
      <c r="S566" s="78"/>
      <c r="T566" s="78"/>
      <c r="U566" s="78"/>
      <c r="V566" s="78"/>
      <c r="W566" s="78"/>
      <c r="X566" s="78"/>
      <c r="Y566" s="78"/>
      <c r="Z566" s="78"/>
      <c r="AA566" s="78"/>
      <c r="AB566" s="78"/>
    </row>
    <row r="567" spans="1:28" s="79" customFormat="1" ht="12.6" customHeight="1" x14ac:dyDescent="0.3">
      <c r="A567" s="102"/>
      <c r="B567" s="78"/>
      <c r="C567" s="78"/>
      <c r="D567" s="78"/>
      <c r="E567" s="78"/>
      <c r="F567" s="78"/>
      <c r="H567" s="78"/>
      <c r="I567" s="78"/>
      <c r="J567" s="78"/>
      <c r="K567" s="78"/>
      <c r="L567" s="78"/>
      <c r="M567" s="78"/>
      <c r="N567" s="78"/>
      <c r="O567" s="78"/>
      <c r="P567" s="78"/>
      <c r="Q567" s="78"/>
      <c r="R567" s="78"/>
      <c r="S567" s="78"/>
      <c r="T567" s="78"/>
      <c r="U567" s="78"/>
      <c r="V567" s="78"/>
      <c r="W567" s="78"/>
      <c r="X567" s="78"/>
      <c r="Y567" s="78"/>
      <c r="Z567" s="78"/>
      <c r="AA567" s="78"/>
      <c r="AB567" s="78"/>
    </row>
    <row r="568" spans="1:28" s="79" customFormat="1" ht="12.6" customHeight="1" x14ac:dyDescent="0.3">
      <c r="A568" s="102"/>
      <c r="B568" s="78"/>
      <c r="C568" s="78"/>
      <c r="D568" s="78"/>
      <c r="E568" s="78"/>
      <c r="F568" s="78"/>
      <c r="H568" s="78"/>
      <c r="I568" s="78"/>
      <c r="J568" s="78"/>
      <c r="K568" s="78"/>
      <c r="L568" s="78"/>
      <c r="M568" s="78"/>
      <c r="N568" s="78"/>
      <c r="O568" s="78"/>
      <c r="P568" s="78"/>
      <c r="Q568" s="78"/>
      <c r="R568" s="78"/>
      <c r="S568" s="78"/>
      <c r="T568" s="78"/>
      <c r="U568" s="78"/>
      <c r="V568" s="78"/>
      <c r="W568" s="78"/>
      <c r="X568" s="78"/>
      <c r="Y568" s="78"/>
      <c r="Z568" s="78"/>
      <c r="AA568" s="78"/>
      <c r="AB568" s="78"/>
    </row>
    <row r="569" spans="1:28" s="79" customFormat="1" ht="12.6" customHeight="1" x14ac:dyDescent="0.3">
      <c r="A569" s="102"/>
      <c r="B569" s="78"/>
      <c r="C569" s="78"/>
      <c r="D569" s="78"/>
      <c r="E569" s="78"/>
      <c r="F569" s="78"/>
      <c r="H569" s="78"/>
      <c r="I569" s="78"/>
      <c r="J569" s="78"/>
      <c r="K569" s="78"/>
      <c r="L569" s="78"/>
      <c r="M569" s="78"/>
      <c r="N569" s="78"/>
      <c r="O569" s="78"/>
      <c r="P569" s="78"/>
      <c r="Q569" s="78"/>
      <c r="R569" s="78"/>
      <c r="S569" s="78"/>
      <c r="T569" s="78"/>
      <c r="U569" s="78"/>
      <c r="V569" s="78"/>
      <c r="W569" s="78"/>
      <c r="X569" s="78"/>
      <c r="Y569" s="78"/>
      <c r="Z569" s="78"/>
      <c r="AA569" s="78"/>
      <c r="AB569" s="78"/>
    </row>
    <row r="570" spans="1:28" s="79" customFormat="1" ht="12.6" customHeight="1" x14ac:dyDescent="0.3">
      <c r="A570" s="102"/>
      <c r="B570" s="78"/>
      <c r="C570" s="78"/>
      <c r="D570" s="78"/>
      <c r="E570" s="78"/>
      <c r="F570" s="78"/>
      <c r="H570" s="78"/>
      <c r="I570" s="78"/>
      <c r="J570" s="78"/>
      <c r="K570" s="78"/>
      <c r="L570" s="78"/>
      <c r="M570" s="78"/>
      <c r="N570" s="78"/>
      <c r="O570" s="78"/>
      <c r="P570" s="78"/>
      <c r="Q570" s="78"/>
      <c r="R570" s="78"/>
      <c r="S570" s="78"/>
      <c r="T570" s="78"/>
      <c r="U570" s="78"/>
      <c r="V570" s="78"/>
      <c r="W570" s="78"/>
      <c r="X570" s="78"/>
      <c r="Y570" s="78"/>
      <c r="Z570" s="78"/>
      <c r="AA570" s="78"/>
      <c r="AB570" s="78"/>
    </row>
    <row r="571" spans="1:28" s="79" customFormat="1" ht="12.6" customHeight="1" x14ac:dyDescent="0.3">
      <c r="A571" s="102"/>
      <c r="B571" s="78"/>
      <c r="C571" s="78"/>
      <c r="D571" s="78"/>
      <c r="E571" s="78"/>
      <c r="F571" s="78"/>
      <c r="H571" s="78"/>
      <c r="I571" s="78"/>
      <c r="J571" s="78"/>
      <c r="K571" s="78"/>
      <c r="L571" s="78"/>
      <c r="M571" s="78"/>
      <c r="N571" s="78"/>
      <c r="O571" s="78"/>
      <c r="P571" s="78"/>
      <c r="Q571" s="78"/>
      <c r="R571" s="78"/>
      <c r="S571" s="78"/>
      <c r="T571" s="78"/>
      <c r="U571" s="78"/>
      <c r="V571" s="78"/>
      <c r="W571" s="78"/>
      <c r="X571" s="78"/>
      <c r="Y571" s="78"/>
      <c r="Z571" s="78"/>
      <c r="AA571" s="78"/>
      <c r="AB571" s="78"/>
    </row>
    <row r="572" spans="1:28" s="79" customFormat="1" ht="12.6" customHeight="1" x14ac:dyDescent="0.3">
      <c r="A572" s="102"/>
      <c r="B572" s="78"/>
      <c r="C572" s="78"/>
      <c r="D572" s="78"/>
      <c r="E572" s="78"/>
      <c r="F572" s="78"/>
      <c r="H572" s="78"/>
      <c r="I572" s="78"/>
      <c r="J572" s="78"/>
      <c r="K572" s="78"/>
      <c r="L572" s="78"/>
      <c r="M572" s="78"/>
      <c r="N572" s="78"/>
      <c r="O572" s="78"/>
      <c r="P572" s="78"/>
      <c r="Q572" s="78"/>
      <c r="R572" s="78"/>
      <c r="S572" s="78"/>
      <c r="T572" s="78"/>
      <c r="U572" s="78"/>
      <c r="V572" s="78"/>
      <c r="W572" s="78"/>
      <c r="X572" s="78"/>
      <c r="Y572" s="78"/>
      <c r="Z572" s="78"/>
      <c r="AA572" s="78"/>
      <c r="AB572" s="78"/>
    </row>
    <row r="573" spans="1:28" s="79" customFormat="1" ht="12.6" customHeight="1" x14ac:dyDescent="0.3">
      <c r="A573" s="102"/>
      <c r="B573" s="78"/>
      <c r="C573" s="78"/>
      <c r="D573" s="78"/>
      <c r="E573" s="78"/>
      <c r="F573" s="78"/>
      <c r="H573" s="78"/>
      <c r="I573" s="78"/>
      <c r="J573" s="78"/>
      <c r="K573" s="78"/>
      <c r="L573" s="78"/>
      <c r="M573" s="78"/>
      <c r="N573" s="78"/>
      <c r="O573" s="78"/>
      <c r="P573" s="78"/>
      <c r="Q573" s="78"/>
      <c r="R573" s="78"/>
      <c r="S573" s="78"/>
      <c r="T573" s="78"/>
      <c r="U573" s="78"/>
      <c r="V573" s="78"/>
      <c r="W573" s="78"/>
      <c r="X573" s="78"/>
      <c r="Y573" s="78"/>
      <c r="Z573" s="78"/>
      <c r="AA573" s="78"/>
      <c r="AB573" s="78"/>
    </row>
    <row r="574" spans="1:28" s="79" customFormat="1" ht="12.6" customHeight="1" x14ac:dyDescent="0.3">
      <c r="A574" s="102"/>
      <c r="B574" s="78"/>
      <c r="C574" s="78"/>
      <c r="D574" s="78"/>
      <c r="E574" s="78"/>
      <c r="F574" s="78"/>
      <c r="H574" s="78"/>
      <c r="I574" s="78"/>
      <c r="J574" s="78"/>
      <c r="K574" s="78"/>
      <c r="L574" s="78"/>
      <c r="M574" s="78"/>
      <c r="N574" s="78"/>
      <c r="O574" s="78"/>
      <c r="P574" s="78"/>
      <c r="Q574" s="78"/>
      <c r="R574" s="78"/>
      <c r="S574" s="78"/>
      <c r="T574" s="78"/>
      <c r="U574" s="78"/>
      <c r="V574" s="78"/>
      <c r="W574" s="78"/>
      <c r="X574" s="78"/>
      <c r="Y574" s="78"/>
      <c r="Z574" s="78"/>
      <c r="AA574" s="78"/>
      <c r="AB574" s="78"/>
    </row>
    <row r="575" spans="1:28" s="79" customFormat="1" ht="12.6" customHeight="1" x14ac:dyDescent="0.3">
      <c r="A575" s="102"/>
      <c r="B575" s="78"/>
      <c r="C575" s="78"/>
      <c r="D575" s="78"/>
      <c r="E575" s="78"/>
      <c r="F575" s="78"/>
      <c r="H575" s="78"/>
      <c r="I575" s="78"/>
      <c r="J575" s="78"/>
      <c r="K575" s="78"/>
      <c r="L575" s="78"/>
      <c r="M575" s="78"/>
      <c r="N575" s="78"/>
      <c r="O575" s="78"/>
      <c r="P575" s="78"/>
      <c r="Q575" s="78"/>
      <c r="R575" s="78"/>
      <c r="S575" s="78"/>
      <c r="T575" s="78"/>
      <c r="U575" s="78"/>
      <c r="V575" s="78"/>
      <c r="W575" s="78"/>
      <c r="X575" s="78"/>
      <c r="Y575" s="78"/>
      <c r="Z575" s="78"/>
      <c r="AA575" s="78"/>
      <c r="AB575" s="78"/>
    </row>
    <row r="576" spans="1:28" s="79" customFormat="1" ht="12.6" customHeight="1" x14ac:dyDescent="0.3">
      <c r="A576" s="102"/>
      <c r="B576" s="78"/>
      <c r="C576" s="78"/>
      <c r="D576" s="78"/>
      <c r="E576" s="78"/>
      <c r="F576" s="78"/>
      <c r="H576" s="78"/>
      <c r="I576" s="78"/>
      <c r="J576" s="78"/>
      <c r="K576" s="78"/>
      <c r="L576" s="78"/>
      <c r="M576" s="78"/>
      <c r="N576" s="78"/>
      <c r="O576" s="78"/>
      <c r="P576" s="78"/>
      <c r="Q576" s="78"/>
      <c r="R576" s="78"/>
      <c r="S576" s="78"/>
      <c r="T576" s="78"/>
      <c r="U576" s="78"/>
      <c r="V576" s="78"/>
      <c r="W576" s="78"/>
      <c r="X576" s="78"/>
      <c r="Y576" s="78"/>
      <c r="Z576" s="78"/>
      <c r="AA576" s="78"/>
      <c r="AB576" s="78"/>
    </row>
    <row r="577" spans="1:28" s="79" customFormat="1" ht="12.6" customHeight="1" x14ac:dyDescent="0.3">
      <c r="A577" s="102"/>
      <c r="B577" s="78"/>
      <c r="C577" s="78"/>
      <c r="D577" s="78"/>
      <c r="E577" s="78"/>
      <c r="F577" s="78"/>
      <c r="H577" s="78"/>
      <c r="I577" s="78"/>
      <c r="J577" s="78"/>
      <c r="K577" s="78"/>
      <c r="L577" s="78"/>
      <c r="M577" s="78"/>
      <c r="N577" s="78"/>
      <c r="O577" s="78"/>
      <c r="P577" s="78"/>
      <c r="Q577" s="78"/>
      <c r="R577" s="78"/>
      <c r="S577" s="78"/>
      <c r="T577" s="78"/>
      <c r="U577" s="78"/>
      <c r="V577" s="78"/>
      <c r="W577" s="78"/>
      <c r="X577" s="78"/>
      <c r="Y577" s="78"/>
      <c r="Z577" s="78"/>
      <c r="AA577" s="78"/>
      <c r="AB577" s="78"/>
    </row>
    <row r="578" spans="1:28" s="79" customFormat="1" ht="12.6" customHeight="1" x14ac:dyDescent="0.3">
      <c r="A578" s="102"/>
      <c r="B578" s="78"/>
      <c r="C578" s="78"/>
      <c r="D578" s="78"/>
      <c r="E578" s="78"/>
      <c r="F578" s="78"/>
      <c r="H578" s="78"/>
      <c r="I578" s="78"/>
      <c r="J578" s="78"/>
      <c r="K578" s="78"/>
      <c r="L578" s="78"/>
      <c r="M578" s="78"/>
      <c r="N578" s="78"/>
      <c r="O578" s="78"/>
      <c r="P578" s="78"/>
      <c r="Q578" s="78"/>
      <c r="R578" s="78"/>
      <c r="S578" s="78"/>
      <c r="T578" s="78"/>
      <c r="U578" s="78"/>
      <c r="V578" s="78"/>
      <c r="W578" s="78"/>
      <c r="X578" s="78"/>
      <c r="Y578" s="78"/>
      <c r="Z578" s="78"/>
      <c r="AA578" s="78"/>
      <c r="AB578" s="78"/>
    </row>
    <row r="579" spans="1:28" s="79" customFormat="1" ht="12.6" customHeight="1" x14ac:dyDescent="0.3">
      <c r="A579" s="102"/>
      <c r="B579" s="78"/>
      <c r="C579" s="78"/>
      <c r="D579" s="78"/>
      <c r="E579" s="78"/>
      <c r="F579" s="78"/>
      <c r="H579" s="78"/>
      <c r="I579" s="78"/>
      <c r="J579" s="78"/>
      <c r="K579" s="78"/>
      <c r="L579" s="78"/>
      <c r="M579" s="78"/>
      <c r="N579" s="78"/>
      <c r="O579" s="78"/>
      <c r="P579" s="78"/>
      <c r="Q579" s="78"/>
      <c r="R579" s="78"/>
      <c r="S579" s="78"/>
      <c r="T579" s="78"/>
      <c r="U579" s="78"/>
      <c r="V579" s="78"/>
      <c r="W579" s="78"/>
      <c r="X579" s="78"/>
      <c r="Y579" s="78"/>
      <c r="Z579" s="78"/>
      <c r="AA579" s="78"/>
      <c r="AB579" s="78"/>
    </row>
    <row r="580" spans="1:28" s="79" customFormat="1" ht="12.6" customHeight="1" x14ac:dyDescent="0.3">
      <c r="A580" s="102"/>
      <c r="B580" s="78"/>
      <c r="C580" s="78"/>
      <c r="D580" s="78"/>
      <c r="E580" s="78"/>
      <c r="F580" s="78"/>
      <c r="H580" s="78"/>
      <c r="I580" s="78"/>
      <c r="J580" s="78"/>
      <c r="K580" s="78"/>
      <c r="L580" s="78"/>
      <c r="M580" s="78"/>
      <c r="N580" s="78"/>
      <c r="O580" s="78"/>
      <c r="P580" s="78"/>
      <c r="Q580" s="78"/>
      <c r="R580" s="78"/>
      <c r="S580" s="78"/>
      <c r="T580" s="78"/>
      <c r="U580" s="78"/>
      <c r="V580" s="78"/>
      <c r="W580" s="78"/>
      <c r="X580" s="78"/>
      <c r="Y580" s="78"/>
      <c r="Z580" s="78"/>
      <c r="AA580" s="78"/>
      <c r="AB580" s="78"/>
    </row>
    <row r="581" spans="1:28" s="79" customFormat="1" ht="12.6" customHeight="1" x14ac:dyDescent="0.3">
      <c r="A581" s="102"/>
      <c r="B581" s="78"/>
      <c r="C581" s="78"/>
      <c r="D581" s="78"/>
      <c r="E581" s="78"/>
      <c r="F581" s="78"/>
      <c r="H581" s="78"/>
      <c r="I581" s="78"/>
      <c r="J581" s="78"/>
      <c r="K581" s="78"/>
      <c r="L581" s="78"/>
      <c r="M581" s="78"/>
      <c r="N581" s="78"/>
      <c r="O581" s="78"/>
      <c r="P581" s="78"/>
      <c r="Q581" s="78"/>
      <c r="R581" s="78"/>
      <c r="S581" s="78"/>
      <c r="T581" s="78"/>
      <c r="U581" s="78"/>
      <c r="V581" s="78"/>
      <c r="W581" s="78"/>
      <c r="X581" s="78"/>
      <c r="Y581" s="78"/>
      <c r="Z581" s="78"/>
      <c r="AA581" s="78"/>
      <c r="AB581" s="78"/>
    </row>
    <row r="582" spans="1:28" s="79" customFormat="1" ht="12.6" customHeight="1" x14ac:dyDescent="0.3">
      <c r="A582" s="102"/>
      <c r="B582" s="78"/>
      <c r="C582" s="78"/>
      <c r="D582" s="78"/>
      <c r="E582" s="78"/>
      <c r="F582" s="78"/>
      <c r="H582" s="78"/>
      <c r="I582" s="78"/>
      <c r="J582" s="78"/>
      <c r="K582" s="78"/>
      <c r="L582" s="78"/>
      <c r="M582" s="78"/>
      <c r="N582" s="78"/>
      <c r="O582" s="78"/>
      <c r="P582" s="78"/>
      <c r="Q582" s="78"/>
      <c r="R582" s="78"/>
      <c r="S582" s="78"/>
      <c r="T582" s="78"/>
      <c r="U582" s="78"/>
      <c r="V582" s="78"/>
      <c r="W582" s="78"/>
      <c r="X582" s="78"/>
      <c r="Y582" s="78"/>
      <c r="Z582" s="78"/>
      <c r="AA582" s="78"/>
      <c r="AB582" s="78"/>
    </row>
    <row r="583" spans="1:28" s="79" customFormat="1" ht="12.6" customHeight="1" x14ac:dyDescent="0.3">
      <c r="A583" s="102"/>
      <c r="B583" s="78"/>
      <c r="C583" s="78"/>
      <c r="D583" s="78"/>
      <c r="E583" s="78"/>
      <c r="F583" s="78"/>
      <c r="H583" s="78"/>
      <c r="I583" s="78"/>
      <c r="J583" s="78"/>
      <c r="K583" s="78"/>
      <c r="L583" s="78"/>
      <c r="M583" s="78"/>
      <c r="N583" s="78"/>
      <c r="O583" s="78"/>
      <c r="P583" s="78"/>
      <c r="Q583" s="78"/>
      <c r="R583" s="78"/>
      <c r="S583" s="78"/>
      <c r="T583" s="78"/>
      <c r="U583" s="78"/>
      <c r="V583" s="78"/>
      <c r="W583" s="78"/>
      <c r="X583" s="78"/>
      <c r="Y583" s="78"/>
      <c r="Z583" s="78"/>
      <c r="AA583" s="78"/>
      <c r="AB583" s="78"/>
    </row>
    <row r="584" spans="1:28" s="79" customFormat="1" ht="12.6" customHeight="1" x14ac:dyDescent="0.3">
      <c r="A584" s="102"/>
      <c r="B584" s="78"/>
      <c r="C584" s="78"/>
      <c r="D584" s="78"/>
      <c r="E584" s="78"/>
      <c r="F584" s="78"/>
      <c r="H584" s="78"/>
      <c r="I584" s="78"/>
      <c r="J584" s="78"/>
      <c r="K584" s="78"/>
      <c r="L584" s="78"/>
      <c r="M584" s="78"/>
      <c r="N584" s="78"/>
      <c r="O584" s="78"/>
      <c r="P584" s="78"/>
      <c r="Q584" s="78"/>
      <c r="R584" s="78"/>
      <c r="S584" s="78"/>
      <c r="T584" s="78"/>
      <c r="U584" s="78"/>
      <c r="V584" s="78"/>
      <c r="W584" s="78"/>
      <c r="X584" s="78"/>
      <c r="Y584" s="78"/>
      <c r="Z584" s="78"/>
      <c r="AA584" s="78"/>
      <c r="AB584" s="78"/>
    </row>
    <row r="585" spans="1:28" s="79" customFormat="1" ht="12.6" customHeight="1" x14ac:dyDescent="0.3">
      <c r="A585" s="102"/>
      <c r="B585" s="78"/>
      <c r="C585" s="78"/>
      <c r="D585" s="78"/>
      <c r="E585" s="78"/>
      <c r="F585" s="78"/>
      <c r="H585" s="78"/>
      <c r="I585" s="78"/>
      <c r="J585" s="78"/>
      <c r="K585" s="78"/>
      <c r="L585" s="78"/>
      <c r="M585" s="78"/>
      <c r="N585" s="78"/>
      <c r="O585" s="78"/>
      <c r="P585" s="78"/>
      <c r="Q585" s="78"/>
      <c r="R585" s="78"/>
      <c r="S585" s="78"/>
      <c r="T585" s="78"/>
      <c r="U585" s="78"/>
      <c r="V585" s="78"/>
      <c r="W585" s="78"/>
      <c r="X585" s="78"/>
      <c r="Y585" s="78"/>
      <c r="Z585" s="78"/>
      <c r="AA585" s="78"/>
      <c r="AB585" s="78"/>
    </row>
    <row r="586" spans="1:28" s="79" customFormat="1" ht="12.6" customHeight="1" x14ac:dyDescent="0.3">
      <c r="A586" s="102"/>
      <c r="B586" s="78"/>
      <c r="C586" s="78"/>
      <c r="D586" s="78"/>
      <c r="E586" s="78"/>
      <c r="F586" s="78"/>
      <c r="H586" s="78"/>
      <c r="I586" s="78"/>
      <c r="J586" s="78"/>
      <c r="K586" s="78"/>
      <c r="L586" s="78"/>
      <c r="M586" s="78"/>
      <c r="N586" s="78"/>
      <c r="O586" s="78"/>
      <c r="P586" s="78"/>
      <c r="Q586" s="78"/>
      <c r="R586" s="78"/>
      <c r="S586" s="78"/>
      <c r="T586" s="78"/>
      <c r="U586" s="78"/>
      <c r="V586" s="78"/>
      <c r="W586" s="78"/>
      <c r="X586" s="78"/>
      <c r="Y586" s="78"/>
      <c r="Z586" s="78"/>
      <c r="AA586" s="78"/>
      <c r="AB586" s="78"/>
    </row>
    <row r="587" spans="1:28" s="79" customFormat="1" ht="12.6" customHeight="1" x14ac:dyDescent="0.3">
      <c r="A587" s="102"/>
      <c r="B587" s="78"/>
      <c r="C587" s="78"/>
      <c r="D587" s="78"/>
      <c r="E587" s="78"/>
      <c r="F587" s="78"/>
      <c r="H587" s="78"/>
      <c r="I587" s="78"/>
      <c r="J587" s="78"/>
      <c r="K587" s="78"/>
      <c r="L587" s="78"/>
      <c r="M587" s="78"/>
      <c r="N587" s="78"/>
      <c r="O587" s="78"/>
      <c r="P587" s="78"/>
      <c r="Q587" s="78"/>
      <c r="R587" s="78"/>
      <c r="S587" s="78"/>
      <c r="T587" s="78"/>
      <c r="U587" s="78"/>
      <c r="V587" s="78"/>
      <c r="W587" s="78"/>
      <c r="X587" s="78"/>
      <c r="Y587" s="78"/>
      <c r="Z587" s="78"/>
      <c r="AA587" s="78"/>
      <c r="AB587" s="78"/>
    </row>
    <row r="588" spans="1:28" s="79" customFormat="1" ht="12.6" customHeight="1" x14ac:dyDescent="0.3">
      <c r="A588" s="102"/>
      <c r="B588" s="78"/>
      <c r="C588" s="78"/>
      <c r="D588" s="78"/>
      <c r="E588" s="78"/>
      <c r="F588" s="78"/>
      <c r="H588" s="78"/>
      <c r="I588" s="78"/>
      <c r="J588" s="78"/>
      <c r="K588" s="78"/>
      <c r="L588" s="78"/>
      <c r="M588" s="78"/>
      <c r="N588" s="78"/>
      <c r="O588" s="78"/>
      <c r="P588" s="78"/>
      <c r="Q588" s="78"/>
      <c r="R588" s="78"/>
      <c r="S588" s="78"/>
      <c r="T588" s="78"/>
      <c r="U588" s="78"/>
      <c r="V588" s="78"/>
      <c r="W588" s="78"/>
      <c r="X588" s="78"/>
      <c r="Y588" s="78"/>
      <c r="Z588" s="78"/>
      <c r="AA588" s="78"/>
      <c r="AB588" s="78"/>
    </row>
    <row r="589" spans="1:28" s="79" customFormat="1" ht="12.6" customHeight="1" x14ac:dyDescent="0.3">
      <c r="A589" s="102"/>
      <c r="B589" s="78"/>
      <c r="C589" s="78"/>
      <c r="D589" s="78"/>
      <c r="E589" s="78"/>
      <c r="F589" s="78"/>
      <c r="H589" s="78"/>
      <c r="I589" s="78"/>
      <c r="J589" s="78"/>
      <c r="K589" s="78"/>
      <c r="L589" s="78"/>
      <c r="M589" s="78"/>
      <c r="N589" s="78"/>
      <c r="O589" s="78"/>
      <c r="P589" s="78"/>
      <c r="Q589" s="78"/>
      <c r="R589" s="78"/>
      <c r="S589" s="78"/>
      <c r="T589" s="78"/>
      <c r="U589" s="78"/>
      <c r="V589" s="78"/>
      <c r="W589" s="78"/>
      <c r="X589" s="78"/>
      <c r="Y589" s="78"/>
      <c r="Z589" s="78"/>
      <c r="AA589" s="78"/>
      <c r="AB589" s="78"/>
    </row>
    <row r="590" spans="1:28" s="79" customFormat="1" ht="12.6" customHeight="1" x14ac:dyDescent="0.3">
      <c r="A590" s="102"/>
      <c r="B590" s="78"/>
      <c r="C590" s="78"/>
      <c r="D590" s="78"/>
      <c r="E590" s="78"/>
      <c r="F590" s="78"/>
      <c r="H590" s="78"/>
      <c r="I590" s="78"/>
      <c r="J590" s="78"/>
      <c r="K590" s="78"/>
      <c r="L590" s="78"/>
      <c r="M590" s="78"/>
      <c r="N590" s="78"/>
      <c r="O590" s="78"/>
      <c r="P590" s="78"/>
      <c r="Q590" s="78"/>
      <c r="R590" s="78"/>
      <c r="S590" s="78"/>
      <c r="T590" s="78"/>
      <c r="U590" s="78"/>
      <c r="V590" s="78"/>
      <c r="W590" s="78"/>
      <c r="X590" s="78"/>
      <c r="Y590" s="78"/>
      <c r="Z590" s="78"/>
      <c r="AA590" s="78"/>
      <c r="AB590" s="78"/>
    </row>
    <row r="591" spans="1:28" s="79" customFormat="1" ht="12.6" customHeight="1" x14ac:dyDescent="0.3">
      <c r="A591" s="102"/>
      <c r="B591" s="78"/>
      <c r="C591" s="78"/>
      <c r="D591" s="78"/>
      <c r="E591" s="78"/>
      <c r="F591" s="78"/>
      <c r="H591" s="78"/>
      <c r="I591" s="78"/>
      <c r="J591" s="78"/>
      <c r="K591" s="78"/>
      <c r="L591" s="78"/>
      <c r="M591" s="78"/>
      <c r="N591" s="78"/>
      <c r="O591" s="78"/>
      <c r="P591" s="78"/>
      <c r="Q591" s="78"/>
      <c r="R591" s="78"/>
      <c r="S591" s="78"/>
      <c r="T591" s="78"/>
      <c r="U591" s="78"/>
      <c r="V591" s="78"/>
      <c r="W591" s="78"/>
      <c r="X591" s="78"/>
      <c r="Y591" s="78"/>
      <c r="Z591" s="78"/>
      <c r="AA591" s="78"/>
      <c r="AB591" s="78"/>
    </row>
    <row r="592" spans="1:28" s="79" customFormat="1" ht="12.6" customHeight="1" x14ac:dyDescent="0.3">
      <c r="A592" s="102"/>
      <c r="B592" s="78"/>
      <c r="C592" s="78"/>
      <c r="D592" s="78"/>
      <c r="E592" s="78"/>
      <c r="F592" s="78"/>
      <c r="H592" s="78"/>
      <c r="I592" s="78"/>
      <c r="J592" s="78"/>
      <c r="K592" s="78"/>
      <c r="L592" s="78"/>
      <c r="M592" s="78"/>
      <c r="N592" s="78"/>
      <c r="O592" s="78"/>
      <c r="P592" s="78"/>
      <c r="Q592" s="78"/>
      <c r="R592" s="78"/>
      <c r="S592" s="78"/>
      <c r="T592" s="78"/>
      <c r="U592" s="78"/>
      <c r="V592" s="78"/>
      <c r="W592" s="78"/>
      <c r="X592" s="78"/>
      <c r="Y592" s="78"/>
      <c r="Z592" s="78"/>
      <c r="AA592" s="78"/>
      <c r="AB592" s="78"/>
    </row>
    <row r="593" spans="1:28" s="79" customFormat="1" ht="12.6" customHeight="1" x14ac:dyDescent="0.3">
      <c r="A593" s="102"/>
      <c r="B593" s="78"/>
      <c r="C593" s="78"/>
      <c r="D593" s="78"/>
      <c r="E593" s="78"/>
      <c r="F593" s="78"/>
      <c r="H593" s="78"/>
      <c r="I593" s="78"/>
      <c r="J593" s="78"/>
      <c r="K593" s="78"/>
      <c r="L593" s="78"/>
      <c r="M593" s="78"/>
      <c r="N593" s="78"/>
      <c r="O593" s="78"/>
      <c r="P593" s="78"/>
      <c r="Q593" s="78"/>
      <c r="R593" s="78"/>
      <c r="S593" s="78"/>
      <c r="T593" s="78"/>
      <c r="U593" s="78"/>
      <c r="V593" s="78"/>
      <c r="W593" s="78"/>
      <c r="X593" s="78"/>
      <c r="Y593" s="78"/>
      <c r="Z593" s="78"/>
      <c r="AA593" s="78"/>
      <c r="AB593" s="78"/>
    </row>
    <row r="594" spans="1:28" s="79" customFormat="1" ht="12.6" customHeight="1" x14ac:dyDescent="0.3">
      <c r="A594" s="102"/>
      <c r="B594" s="78"/>
      <c r="C594" s="78"/>
      <c r="D594" s="78"/>
      <c r="E594" s="78"/>
      <c r="F594" s="78"/>
      <c r="H594" s="78"/>
      <c r="I594" s="78"/>
      <c r="J594" s="78"/>
      <c r="K594" s="78"/>
      <c r="L594" s="78"/>
      <c r="M594" s="78"/>
      <c r="N594" s="78"/>
      <c r="O594" s="78"/>
      <c r="P594" s="78"/>
      <c r="Q594" s="78"/>
      <c r="R594" s="78"/>
      <c r="S594" s="78"/>
      <c r="T594" s="78"/>
      <c r="U594" s="78"/>
      <c r="V594" s="78"/>
      <c r="W594" s="78"/>
      <c r="X594" s="78"/>
      <c r="Y594" s="78"/>
      <c r="Z594" s="78"/>
      <c r="AA594" s="78"/>
      <c r="AB594" s="78"/>
    </row>
    <row r="595" spans="1:28" s="79" customFormat="1" ht="12.6" customHeight="1" x14ac:dyDescent="0.3">
      <c r="A595" s="102"/>
      <c r="B595" s="78"/>
      <c r="C595" s="78"/>
      <c r="D595" s="78"/>
      <c r="E595" s="78"/>
      <c r="F595" s="78"/>
      <c r="H595" s="78"/>
      <c r="I595" s="78"/>
      <c r="J595" s="78"/>
      <c r="K595" s="78"/>
      <c r="L595" s="78"/>
      <c r="M595" s="78"/>
      <c r="N595" s="78"/>
      <c r="O595" s="78"/>
      <c r="P595" s="78"/>
      <c r="Q595" s="78"/>
      <c r="R595" s="78"/>
      <c r="S595" s="78"/>
      <c r="T595" s="78"/>
      <c r="U595" s="78"/>
      <c r="V595" s="78"/>
      <c r="W595" s="78"/>
      <c r="X595" s="78"/>
      <c r="Y595" s="78"/>
      <c r="Z595" s="78"/>
      <c r="AA595" s="78"/>
      <c r="AB595" s="78"/>
    </row>
    <row r="596" spans="1:28" s="79" customFormat="1" ht="12.6" customHeight="1" x14ac:dyDescent="0.3">
      <c r="A596" s="102"/>
      <c r="B596" s="78"/>
      <c r="C596" s="78"/>
      <c r="D596" s="78"/>
      <c r="E596" s="78"/>
      <c r="F596" s="78"/>
      <c r="H596" s="78"/>
      <c r="I596" s="78"/>
      <c r="J596" s="78"/>
      <c r="K596" s="78"/>
      <c r="L596" s="78"/>
      <c r="M596" s="78"/>
      <c r="N596" s="78"/>
      <c r="O596" s="78"/>
      <c r="P596" s="78"/>
      <c r="Q596" s="78"/>
      <c r="R596" s="78"/>
      <c r="S596" s="78"/>
      <c r="T596" s="78"/>
      <c r="U596" s="78"/>
      <c r="V596" s="78"/>
      <c r="W596" s="78"/>
      <c r="X596" s="78"/>
      <c r="Y596" s="78"/>
      <c r="Z596" s="78"/>
      <c r="AA596" s="78"/>
      <c r="AB596" s="78"/>
    </row>
    <row r="597" spans="1:28" s="79" customFormat="1" ht="12.6" customHeight="1" x14ac:dyDescent="0.3">
      <c r="A597" s="102"/>
      <c r="B597" s="78"/>
      <c r="C597" s="78"/>
      <c r="D597" s="78"/>
      <c r="E597" s="78"/>
      <c r="F597" s="78"/>
      <c r="H597" s="78"/>
      <c r="I597" s="78"/>
      <c r="J597" s="78"/>
      <c r="K597" s="78"/>
      <c r="L597" s="78"/>
      <c r="M597" s="78"/>
      <c r="N597" s="78"/>
      <c r="O597" s="78"/>
      <c r="P597" s="78"/>
      <c r="Q597" s="78"/>
      <c r="R597" s="78"/>
      <c r="S597" s="78"/>
      <c r="T597" s="78"/>
      <c r="U597" s="78"/>
      <c r="V597" s="78"/>
      <c r="W597" s="78"/>
      <c r="X597" s="78"/>
      <c r="Y597" s="78"/>
      <c r="Z597" s="78"/>
      <c r="AA597" s="78"/>
      <c r="AB597" s="78"/>
    </row>
    <row r="598" spans="1:28" s="79" customFormat="1" ht="12.6" customHeight="1" x14ac:dyDescent="0.3">
      <c r="A598" s="102"/>
      <c r="B598" s="78"/>
      <c r="C598" s="78"/>
      <c r="D598" s="78"/>
      <c r="E598" s="78"/>
      <c r="F598" s="78"/>
      <c r="H598" s="78"/>
      <c r="I598" s="78"/>
      <c r="J598" s="78"/>
      <c r="K598" s="78"/>
      <c r="L598" s="78"/>
      <c r="M598" s="78"/>
      <c r="N598" s="78"/>
      <c r="O598" s="78"/>
      <c r="P598" s="78"/>
      <c r="Q598" s="78"/>
      <c r="R598" s="78"/>
      <c r="S598" s="78"/>
      <c r="T598" s="78"/>
      <c r="U598" s="78"/>
      <c r="V598" s="78"/>
      <c r="W598" s="78"/>
      <c r="X598" s="78"/>
      <c r="Y598" s="78"/>
      <c r="Z598" s="78"/>
      <c r="AA598" s="78"/>
      <c r="AB598" s="78"/>
    </row>
    <row r="599" spans="1:28" s="79" customFormat="1" ht="12.6" customHeight="1" x14ac:dyDescent="0.3">
      <c r="A599" s="102"/>
      <c r="B599" s="78"/>
      <c r="C599" s="78"/>
      <c r="D599" s="78"/>
      <c r="E599" s="78"/>
      <c r="F599" s="78"/>
      <c r="H599" s="78"/>
      <c r="I599" s="78"/>
      <c r="J599" s="78"/>
      <c r="K599" s="78"/>
      <c r="L599" s="78"/>
      <c r="M599" s="78"/>
      <c r="N599" s="78"/>
      <c r="O599" s="78"/>
      <c r="P599" s="78"/>
      <c r="Q599" s="78"/>
      <c r="R599" s="78"/>
      <c r="S599" s="78"/>
      <c r="T599" s="78"/>
      <c r="U599" s="78"/>
      <c r="V599" s="78"/>
      <c r="W599" s="78"/>
      <c r="X599" s="78"/>
      <c r="Y599" s="78"/>
      <c r="Z599" s="78"/>
      <c r="AA599" s="78"/>
      <c r="AB599" s="78"/>
    </row>
    <row r="600" spans="1:28" s="79" customFormat="1" ht="12.6" customHeight="1" x14ac:dyDescent="0.3">
      <c r="A600" s="102"/>
      <c r="B600" s="78"/>
      <c r="C600" s="78"/>
      <c r="D600" s="78"/>
      <c r="E600" s="78"/>
      <c r="F600" s="78"/>
      <c r="H600" s="78"/>
      <c r="I600" s="78"/>
      <c r="J600" s="78"/>
      <c r="K600" s="78"/>
      <c r="L600" s="78"/>
      <c r="M600" s="78"/>
      <c r="N600" s="78"/>
      <c r="O600" s="78"/>
      <c r="P600" s="78"/>
      <c r="Q600" s="78"/>
      <c r="R600" s="78"/>
      <c r="S600" s="78"/>
      <c r="T600" s="78"/>
      <c r="U600" s="78"/>
      <c r="V600" s="78"/>
      <c r="W600" s="78"/>
      <c r="X600" s="78"/>
      <c r="Y600" s="78"/>
      <c r="Z600" s="78"/>
      <c r="AA600" s="78"/>
      <c r="AB600" s="78"/>
    </row>
    <row r="601" spans="1:28" s="79" customFormat="1" ht="12.6" customHeight="1" x14ac:dyDescent="0.3">
      <c r="A601" s="102"/>
      <c r="B601" s="78"/>
      <c r="C601" s="78"/>
      <c r="D601" s="78"/>
      <c r="E601" s="78"/>
      <c r="F601" s="78"/>
      <c r="H601" s="78"/>
      <c r="I601" s="78"/>
      <c r="J601" s="78"/>
      <c r="K601" s="78"/>
      <c r="L601" s="78"/>
      <c r="M601" s="78"/>
      <c r="N601" s="78"/>
      <c r="O601" s="78"/>
      <c r="P601" s="78"/>
      <c r="Q601" s="78"/>
      <c r="R601" s="78"/>
      <c r="S601" s="78"/>
      <c r="T601" s="78"/>
      <c r="U601" s="78"/>
      <c r="V601" s="78"/>
      <c r="W601" s="78"/>
      <c r="X601" s="78"/>
      <c r="Y601" s="78"/>
      <c r="Z601" s="78"/>
      <c r="AA601" s="78"/>
      <c r="AB601" s="78"/>
    </row>
    <row r="602" spans="1:28" s="79" customFormat="1" ht="12.6" customHeight="1" x14ac:dyDescent="0.3">
      <c r="A602" s="102"/>
      <c r="B602" s="78"/>
      <c r="C602" s="78"/>
      <c r="D602" s="78"/>
      <c r="E602" s="78"/>
      <c r="F602" s="78"/>
      <c r="H602" s="78"/>
      <c r="I602" s="78"/>
      <c r="J602" s="78"/>
      <c r="K602" s="78"/>
      <c r="L602" s="78"/>
      <c r="M602" s="78"/>
      <c r="N602" s="78"/>
      <c r="O602" s="78"/>
      <c r="P602" s="78"/>
      <c r="Q602" s="78"/>
      <c r="R602" s="78"/>
      <c r="S602" s="78"/>
      <c r="T602" s="78"/>
      <c r="U602" s="78"/>
      <c r="V602" s="78"/>
      <c r="W602" s="78"/>
      <c r="X602" s="78"/>
      <c r="Y602" s="78"/>
      <c r="Z602" s="78"/>
      <c r="AA602" s="78"/>
      <c r="AB602" s="78"/>
    </row>
    <row r="603" spans="1:28" s="79" customFormat="1" ht="12.6" customHeight="1" x14ac:dyDescent="0.3">
      <c r="A603" s="102"/>
      <c r="B603" s="78"/>
      <c r="C603" s="78"/>
      <c r="D603" s="78"/>
      <c r="E603" s="78"/>
      <c r="F603" s="78"/>
      <c r="H603" s="78"/>
      <c r="I603" s="78"/>
      <c r="J603" s="78"/>
      <c r="K603" s="78"/>
      <c r="L603" s="78"/>
      <c r="M603" s="78"/>
      <c r="N603" s="78"/>
      <c r="O603" s="78"/>
      <c r="P603" s="78"/>
      <c r="Q603" s="78"/>
      <c r="R603" s="78"/>
      <c r="S603" s="78"/>
      <c r="T603" s="78"/>
      <c r="U603" s="78"/>
      <c r="V603" s="78"/>
      <c r="W603" s="78"/>
      <c r="X603" s="78"/>
      <c r="Y603" s="78"/>
      <c r="Z603" s="78"/>
      <c r="AA603" s="78"/>
      <c r="AB603" s="78"/>
    </row>
    <row r="604" spans="1:28" s="79" customFormat="1" ht="12.6" customHeight="1" x14ac:dyDescent="0.3">
      <c r="A604" s="102"/>
      <c r="B604" s="78"/>
      <c r="C604" s="78"/>
      <c r="D604" s="78"/>
      <c r="E604" s="78"/>
      <c r="F604" s="78"/>
      <c r="H604" s="78"/>
      <c r="I604" s="78"/>
      <c r="J604" s="78"/>
      <c r="K604" s="78"/>
      <c r="L604" s="78"/>
      <c r="M604" s="78"/>
      <c r="N604" s="78"/>
      <c r="O604" s="78"/>
      <c r="P604" s="78"/>
      <c r="Q604" s="78"/>
      <c r="R604" s="78"/>
      <c r="S604" s="78"/>
      <c r="T604" s="78"/>
      <c r="U604" s="78"/>
      <c r="V604" s="78"/>
      <c r="W604" s="78"/>
      <c r="X604" s="78"/>
      <c r="Y604" s="78"/>
      <c r="Z604" s="78"/>
      <c r="AA604" s="78"/>
      <c r="AB604" s="78"/>
    </row>
    <row r="605" spans="1:28" s="79" customFormat="1" ht="12.6" customHeight="1" x14ac:dyDescent="0.3">
      <c r="A605" s="102"/>
      <c r="B605" s="78"/>
      <c r="C605" s="78"/>
      <c r="D605" s="78"/>
      <c r="E605" s="78"/>
      <c r="F605" s="78"/>
      <c r="H605" s="78"/>
      <c r="I605" s="78"/>
      <c r="J605" s="78"/>
      <c r="K605" s="78"/>
      <c r="L605" s="78"/>
      <c r="M605" s="78"/>
      <c r="N605" s="78"/>
      <c r="O605" s="78"/>
      <c r="P605" s="78"/>
      <c r="Q605" s="78"/>
      <c r="R605" s="78"/>
      <c r="S605" s="78"/>
      <c r="T605" s="78"/>
      <c r="U605" s="78"/>
      <c r="V605" s="78"/>
      <c r="W605" s="78"/>
      <c r="X605" s="78"/>
      <c r="Y605" s="78"/>
      <c r="Z605" s="78"/>
      <c r="AA605" s="78"/>
      <c r="AB605" s="78"/>
    </row>
    <row r="606" spans="1:28" s="79" customFormat="1" ht="12.6" customHeight="1" x14ac:dyDescent="0.3">
      <c r="A606" s="102"/>
      <c r="B606" s="78"/>
      <c r="C606" s="78"/>
      <c r="D606" s="78"/>
      <c r="E606" s="78"/>
      <c r="F606" s="78"/>
      <c r="H606" s="78"/>
      <c r="I606" s="78"/>
      <c r="J606" s="78"/>
      <c r="K606" s="78"/>
      <c r="L606" s="78"/>
      <c r="M606" s="78"/>
      <c r="N606" s="78"/>
      <c r="O606" s="78"/>
      <c r="P606" s="78"/>
      <c r="Q606" s="78"/>
      <c r="R606" s="78"/>
      <c r="S606" s="78"/>
      <c r="T606" s="78"/>
      <c r="U606" s="78"/>
      <c r="V606" s="78"/>
      <c r="W606" s="78"/>
      <c r="X606" s="78"/>
      <c r="Y606" s="78"/>
      <c r="Z606" s="78"/>
      <c r="AA606" s="78"/>
      <c r="AB606" s="78"/>
    </row>
    <row r="607" spans="1:28" s="79" customFormat="1" ht="12.6" customHeight="1" x14ac:dyDescent="0.3">
      <c r="A607" s="102"/>
      <c r="B607" s="78"/>
      <c r="C607" s="78"/>
      <c r="D607" s="78"/>
      <c r="E607" s="78"/>
      <c r="F607" s="78"/>
      <c r="H607" s="78"/>
      <c r="I607" s="78"/>
      <c r="J607" s="78"/>
      <c r="K607" s="78"/>
      <c r="L607" s="78"/>
      <c r="M607" s="78"/>
      <c r="N607" s="78"/>
      <c r="O607" s="78"/>
      <c r="P607" s="78"/>
      <c r="Q607" s="78"/>
      <c r="R607" s="78"/>
      <c r="S607" s="78"/>
      <c r="T607" s="78"/>
      <c r="U607" s="78"/>
      <c r="V607" s="78"/>
      <c r="W607" s="78"/>
      <c r="X607" s="78"/>
      <c r="Y607" s="78"/>
      <c r="Z607" s="78"/>
      <c r="AA607" s="78"/>
      <c r="AB607" s="78"/>
    </row>
    <row r="608" spans="1:28" s="79" customFormat="1" ht="12.6" customHeight="1" x14ac:dyDescent="0.3">
      <c r="A608" s="102"/>
      <c r="B608" s="78"/>
      <c r="C608" s="78"/>
      <c r="D608" s="78"/>
      <c r="E608" s="78"/>
      <c r="F608" s="78"/>
      <c r="H608" s="78"/>
      <c r="I608" s="78"/>
      <c r="J608" s="78"/>
      <c r="K608" s="78"/>
      <c r="L608" s="78"/>
      <c r="M608" s="78"/>
      <c r="N608" s="78"/>
      <c r="O608" s="78"/>
      <c r="P608" s="78"/>
      <c r="Q608" s="78"/>
      <c r="R608" s="78"/>
      <c r="S608" s="78"/>
      <c r="T608" s="78"/>
      <c r="U608" s="78"/>
      <c r="V608" s="78"/>
      <c r="W608" s="78"/>
      <c r="X608" s="78"/>
      <c r="Y608" s="78"/>
      <c r="Z608" s="78"/>
      <c r="AA608" s="78"/>
      <c r="AB608" s="78"/>
    </row>
    <row r="609" spans="1:28" s="79" customFormat="1" ht="12.6" customHeight="1" x14ac:dyDescent="0.3">
      <c r="A609" s="102"/>
      <c r="B609" s="78"/>
      <c r="C609" s="78"/>
      <c r="D609" s="78"/>
      <c r="E609" s="78"/>
      <c r="F609" s="78"/>
      <c r="H609" s="78"/>
      <c r="I609" s="78"/>
      <c r="J609" s="78"/>
      <c r="K609" s="78"/>
      <c r="L609" s="78"/>
      <c r="M609" s="78"/>
      <c r="N609" s="78"/>
      <c r="O609" s="78"/>
      <c r="P609" s="78"/>
      <c r="Q609" s="78"/>
      <c r="R609" s="78"/>
      <c r="S609" s="78"/>
      <c r="T609" s="78"/>
      <c r="U609" s="78"/>
      <c r="V609" s="78"/>
      <c r="W609" s="78"/>
      <c r="X609" s="78"/>
      <c r="Y609" s="78"/>
      <c r="Z609" s="78"/>
      <c r="AA609" s="78"/>
      <c r="AB609" s="78"/>
    </row>
    <row r="610" spans="1:28" s="79" customFormat="1" ht="12.6" customHeight="1" x14ac:dyDescent="0.3">
      <c r="A610" s="102"/>
      <c r="B610" s="78"/>
      <c r="C610" s="78"/>
      <c r="D610" s="78"/>
      <c r="E610" s="78"/>
      <c r="F610" s="78"/>
      <c r="H610" s="78"/>
      <c r="I610" s="78"/>
      <c r="J610" s="78"/>
      <c r="K610" s="78"/>
      <c r="L610" s="78"/>
      <c r="M610" s="78"/>
      <c r="N610" s="78"/>
      <c r="O610" s="78"/>
      <c r="P610" s="78"/>
      <c r="Q610" s="78"/>
      <c r="R610" s="78"/>
      <c r="S610" s="78"/>
      <c r="T610" s="78"/>
      <c r="U610" s="78"/>
      <c r="V610" s="78"/>
      <c r="W610" s="78"/>
      <c r="X610" s="78"/>
      <c r="Y610" s="78"/>
      <c r="Z610" s="78"/>
      <c r="AA610" s="78"/>
      <c r="AB610" s="78"/>
    </row>
    <row r="611" spans="1:28" s="79" customFormat="1" ht="12.6" customHeight="1" x14ac:dyDescent="0.3">
      <c r="A611" s="102"/>
      <c r="B611" s="78"/>
      <c r="C611" s="78"/>
      <c r="D611" s="78"/>
      <c r="E611" s="78"/>
      <c r="F611" s="78"/>
      <c r="H611" s="78"/>
      <c r="I611" s="78"/>
      <c r="J611" s="78"/>
      <c r="K611" s="78"/>
      <c r="L611" s="78"/>
      <c r="M611" s="78"/>
      <c r="N611" s="78"/>
      <c r="O611" s="78"/>
      <c r="P611" s="78"/>
      <c r="Q611" s="78"/>
      <c r="R611" s="78"/>
      <c r="S611" s="78"/>
      <c r="T611" s="78"/>
      <c r="U611" s="78"/>
      <c r="V611" s="78"/>
      <c r="W611" s="78"/>
      <c r="X611" s="78"/>
      <c r="Y611" s="78"/>
      <c r="Z611" s="78"/>
      <c r="AA611" s="78"/>
      <c r="AB611" s="78"/>
    </row>
    <row r="612" spans="1:28" s="79" customFormat="1" ht="12.6" customHeight="1" x14ac:dyDescent="0.3">
      <c r="A612" s="102"/>
      <c r="B612" s="78"/>
      <c r="C612" s="78"/>
      <c r="D612" s="78"/>
      <c r="E612" s="78"/>
      <c r="F612" s="78"/>
      <c r="H612" s="78"/>
      <c r="I612" s="78"/>
      <c r="J612" s="78"/>
      <c r="K612" s="78"/>
      <c r="L612" s="78"/>
      <c r="M612" s="78"/>
      <c r="N612" s="78"/>
      <c r="O612" s="78"/>
      <c r="P612" s="78"/>
      <c r="Q612" s="78"/>
      <c r="R612" s="78"/>
      <c r="S612" s="78"/>
      <c r="T612" s="78"/>
      <c r="U612" s="78"/>
      <c r="V612" s="78"/>
      <c r="W612" s="78"/>
      <c r="X612" s="78"/>
      <c r="Y612" s="78"/>
      <c r="Z612" s="78"/>
      <c r="AA612" s="78"/>
      <c r="AB612" s="78"/>
    </row>
    <row r="613" spans="1:28" s="79" customFormat="1" ht="12.6" customHeight="1" x14ac:dyDescent="0.3">
      <c r="A613" s="102"/>
      <c r="B613" s="78"/>
      <c r="C613" s="78"/>
      <c r="D613" s="78"/>
      <c r="E613" s="78"/>
      <c r="F613" s="78"/>
      <c r="H613" s="78"/>
      <c r="I613" s="78"/>
      <c r="J613" s="78"/>
      <c r="K613" s="78"/>
      <c r="L613" s="78"/>
      <c r="M613" s="78"/>
      <c r="N613" s="78"/>
      <c r="O613" s="78"/>
      <c r="P613" s="78"/>
      <c r="Q613" s="78"/>
      <c r="R613" s="78"/>
      <c r="S613" s="78"/>
      <c r="T613" s="78"/>
      <c r="U613" s="78"/>
      <c r="V613" s="78"/>
      <c r="W613" s="78"/>
      <c r="X613" s="78"/>
      <c r="Y613" s="78"/>
      <c r="Z613" s="78"/>
      <c r="AA613" s="78"/>
      <c r="AB613" s="78"/>
    </row>
    <row r="614" spans="1:28" s="79" customFormat="1" ht="12.6" customHeight="1" x14ac:dyDescent="0.3">
      <c r="A614" s="102"/>
      <c r="B614" s="78"/>
      <c r="C614" s="78"/>
      <c r="D614" s="78"/>
      <c r="E614" s="78"/>
      <c r="F614" s="78"/>
      <c r="H614" s="78"/>
      <c r="I614" s="78"/>
      <c r="J614" s="78"/>
      <c r="K614" s="78"/>
      <c r="L614" s="78"/>
      <c r="M614" s="78"/>
      <c r="N614" s="78"/>
      <c r="O614" s="78"/>
      <c r="P614" s="78"/>
      <c r="Q614" s="78"/>
      <c r="R614" s="78"/>
      <c r="S614" s="78"/>
      <c r="T614" s="78"/>
      <c r="U614" s="78"/>
      <c r="V614" s="78"/>
      <c r="W614" s="78"/>
      <c r="X614" s="78"/>
      <c r="Y614" s="78"/>
      <c r="Z614" s="78"/>
      <c r="AA614" s="78"/>
      <c r="AB614" s="78"/>
    </row>
    <row r="615" spans="1:28" s="79" customFormat="1" ht="12.6" customHeight="1" x14ac:dyDescent="0.3">
      <c r="A615" s="102"/>
      <c r="B615" s="78"/>
      <c r="C615" s="78"/>
      <c r="D615" s="78"/>
      <c r="E615" s="78"/>
      <c r="F615" s="78"/>
      <c r="H615" s="78"/>
      <c r="I615" s="78"/>
      <c r="J615" s="78"/>
      <c r="K615" s="78"/>
      <c r="L615" s="78"/>
      <c r="M615" s="78"/>
      <c r="N615" s="78"/>
      <c r="O615" s="78"/>
      <c r="P615" s="78"/>
      <c r="Q615" s="78"/>
      <c r="R615" s="78"/>
      <c r="S615" s="78"/>
      <c r="T615" s="78"/>
      <c r="U615" s="78"/>
      <c r="V615" s="78"/>
      <c r="W615" s="78"/>
      <c r="X615" s="78"/>
      <c r="Y615" s="78"/>
      <c r="Z615" s="78"/>
      <c r="AA615" s="78"/>
      <c r="AB615" s="78"/>
    </row>
    <row r="616" spans="1:28" s="79" customFormat="1" ht="12.6" customHeight="1" x14ac:dyDescent="0.3">
      <c r="A616" s="102"/>
      <c r="B616" s="78"/>
      <c r="C616" s="78"/>
      <c r="D616" s="78"/>
      <c r="E616" s="78"/>
      <c r="F616" s="78"/>
      <c r="H616" s="78"/>
      <c r="I616" s="78"/>
      <c r="J616" s="78"/>
      <c r="K616" s="78"/>
      <c r="L616" s="78"/>
      <c r="M616" s="78"/>
      <c r="N616" s="78"/>
      <c r="O616" s="78"/>
      <c r="P616" s="78"/>
      <c r="Q616" s="78"/>
      <c r="R616" s="78"/>
      <c r="S616" s="78"/>
      <c r="T616" s="78"/>
      <c r="U616" s="78"/>
      <c r="V616" s="78"/>
      <c r="W616" s="78"/>
      <c r="X616" s="78"/>
      <c r="Y616" s="78"/>
      <c r="Z616" s="78"/>
      <c r="AA616" s="78"/>
      <c r="AB616" s="78"/>
    </row>
    <row r="617" spans="1:28" s="79" customFormat="1" ht="12.6" customHeight="1" x14ac:dyDescent="0.3">
      <c r="A617" s="102"/>
      <c r="B617" s="78"/>
      <c r="C617" s="78"/>
      <c r="D617" s="78"/>
      <c r="E617" s="78"/>
      <c r="F617" s="78"/>
      <c r="H617" s="78"/>
      <c r="I617" s="78"/>
      <c r="J617" s="78"/>
      <c r="K617" s="78"/>
      <c r="L617" s="78"/>
      <c r="M617" s="78"/>
      <c r="N617" s="78"/>
      <c r="O617" s="78"/>
      <c r="P617" s="78"/>
      <c r="Q617" s="78"/>
      <c r="R617" s="78"/>
      <c r="S617" s="78"/>
      <c r="T617" s="78"/>
      <c r="U617" s="78"/>
      <c r="V617" s="78"/>
      <c r="W617" s="78"/>
      <c r="X617" s="78"/>
      <c r="Y617" s="78"/>
      <c r="Z617" s="78"/>
      <c r="AA617" s="78"/>
      <c r="AB617" s="78"/>
    </row>
    <row r="618" spans="1:28" s="79" customFormat="1" ht="12.6" customHeight="1" x14ac:dyDescent="0.3">
      <c r="A618" s="102"/>
      <c r="B618" s="78"/>
      <c r="C618" s="78"/>
      <c r="D618" s="78"/>
      <c r="E618" s="78"/>
      <c r="F618" s="78"/>
      <c r="H618" s="78"/>
      <c r="I618" s="78"/>
      <c r="J618" s="78"/>
      <c r="K618" s="78"/>
      <c r="L618" s="78"/>
      <c r="M618" s="78"/>
      <c r="N618" s="78"/>
      <c r="O618" s="78"/>
      <c r="P618" s="78"/>
      <c r="Q618" s="78"/>
      <c r="R618" s="78"/>
      <c r="S618" s="78"/>
      <c r="T618" s="78"/>
      <c r="U618" s="78"/>
      <c r="V618" s="78"/>
      <c r="W618" s="78"/>
      <c r="X618" s="78"/>
      <c r="Y618" s="78"/>
      <c r="Z618" s="78"/>
      <c r="AA618" s="78"/>
      <c r="AB618" s="78"/>
    </row>
    <row r="619" spans="1:28" s="79" customFormat="1" ht="12.6" customHeight="1" x14ac:dyDescent="0.3">
      <c r="A619" s="102"/>
      <c r="B619" s="78"/>
      <c r="C619" s="78"/>
      <c r="D619" s="78"/>
      <c r="E619" s="78"/>
      <c r="F619" s="78"/>
      <c r="H619" s="78"/>
      <c r="I619" s="78"/>
      <c r="J619" s="78"/>
      <c r="K619" s="78"/>
      <c r="L619" s="78"/>
      <c r="M619" s="78"/>
      <c r="N619" s="78"/>
      <c r="O619" s="78"/>
      <c r="P619" s="78"/>
      <c r="Q619" s="78"/>
      <c r="R619" s="78"/>
      <c r="S619" s="78"/>
      <c r="T619" s="78"/>
      <c r="U619" s="78"/>
      <c r="V619" s="78"/>
      <c r="W619" s="78"/>
      <c r="X619" s="78"/>
      <c r="Y619" s="78"/>
      <c r="Z619" s="78"/>
      <c r="AA619" s="78"/>
      <c r="AB619" s="78"/>
    </row>
    <row r="620" spans="1:28" s="79" customFormat="1" ht="12.6" customHeight="1" x14ac:dyDescent="0.3">
      <c r="A620" s="102"/>
      <c r="B620" s="78"/>
      <c r="C620" s="78"/>
      <c r="D620" s="78"/>
      <c r="E620" s="78"/>
      <c r="F620" s="78"/>
      <c r="H620" s="78"/>
      <c r="I620" s="78"/>
      <c r="J620" s="78"/>
      <c r="K620" s="78"/>
      <c r="L620" s="78"/>
      <c r="M620" s="78"/>
      <c r="N620" s="78"/>
      <c r="O620" s="78"/>
      <c r="P620" s="78"/>
      <c r="Q620" s="78"/>
      <c r="R620" s="78"/>
      <c r="S620" s="78"/>
      <c r="T620" s="78"/>
      <c r="U620" s="78"/>
      <c r="V620" s="78"/>
      <c r="W620" s="78"/>
      <c r="X620" s="78"/>
      <c r="Y620" s="78"/>
      <c r="Z620" s="78"/>
      <c r="AA620" s="78"/>
      <c r="AB620" s="78"/>
    </row>
    <row r="621" spans="1:28" s="79" customFormat="1" ht="12.6" customHeight="1" x14ac:dyDescent="0.3">
      <c r="A621" s="102"/>
      <c r="B621" s="78"/>
      <c r="C621" s="78"/>
      <c r="D621" s="78"/>
      <c r="E621" s="78"/>
      <c r="F621" s="78"/>
      <c r="H621" s="78"/>
      <c r="I621" s="78"/>
      <c r="J621" s="78"/>
      <c r="K621" s="78"/>
      <c r="L621" s="78"/>
      <c r="M621" s="78"/>
      <c r="N621" s="78"/>
      <c r="O621" s="78"/>
      <c r="P621" s="78"/>
      <c r="Q621" s="78"/>
      <c r="R621" s="78"/>
      <c r="S621" s="78"/>
      <c r="T621" s="78"/>
      <c r="U621" s="78"/>
      <c r="V621" s="78"/>
      <c r="W621" s="78"/>
      <c r="X621" s="78"/>
      <c r="Y621" s="78"/>
      <c r="Z621" s="78"/>
      <c r="AA621" s="78"/>
      <c r="AB621" s="78"/>
    </row>
    <row r="622" spans="1:28" s="79" customFormat="1" ht="12.6" customHeight="1" x14ac:dyDescent="0.3">
      <c r="A622" s="102"/>
      <c r="B622" s="78"/>
      <c r="C622" s="78"/>
      <c r="D622" s="78"/>
      <c r="E622" s="78"/>
      <c r="F622" s="78"/>
      <c r="H622" s="78"/>
      <c r="I622" s="78"/>
      <c r="J622" s="78"/>
      <c r="K622" s="78"/>
      <c r="L622" s="78"/>
      <c r="M622" s="78"/>
      <c r="N622" s="78"/>
      <c r="O622" s="78"/>
      <c r="P622" s="78"/>
      <c r="Q622" s="78"/>
      <c r="R622" s="78"/>
      <c r="S622" s="78"/>
      <c r="T622" s="78"/>
      <c r="U622" s="78"/>
      <c r="V622" s="78"/>
      <c r="W622" s="78"/>
      <c r="X622" s="78"/>
      <c r="Y622" s="78"/>
      <c r="Z622" s="78"/>
      <c r="AA622" s="78"/>
      <c r="AB622" s="78"/>
    </row>
    <row r="623" spans="1:28" s="79" customFormat="1" ht="12.6" customHeight="1" x14ac:dyDescent="0.3">
      <c r="A623" s="102"/>
      <c r="B623" s="78"/>
      <c r="C623" s="78"/>
      <c r="D623" s="78"/>
      <c r="E623" s="78"/>
      <c r="F623" s="78"/>
      <c r="H623" s="78"/>
      <c r="I623" s="78"/>
      <c r="J623" s="78"/>
      <c r="K623" s="78"/>
      <c r="L623" s="78"/>
      <c r="M623" s="78"/>
      <c r="N623" s="78"/>
      <c r="O623" s="78"/>
      <c r="P623" s="78"/>
      <c r="Q623" s="78"/>
      <c r="R623" s="78"/>
      <c r="S623" s="78"/>
      <c r="T623" s="78"/>
      <c r="U623" s="78"/>
      <c r="V623" s="78"/>
      <c r="W623" s="78"/>
      <c r="X623" s="78"/>
      <c r="Y623" s="78"/>
      <c r="Z623" s="78"/>
      <c r="AA623" s="78"/>
      <c r="AB623" s="78"/>
    </row>
    <row r="624" spans="1:28" s="79" customFormat="1" ht="12.6" customHeight="1" x14ac:dyDescent="0.3">
      <c r="A624" s="102"/>
      <c r="B624" s="78"/>
      <c r="C624" s="78"/>
      <c r="D624" s="78"/>
      <c r="E624" s="78"/>
      <c r="F624" s="78"/>
      <c r="H624" s="78"/>
      <c r="I624" s="78"/>
      <c r="J624" s="78"/>
      <c r="K624" s="78"/>
      <c r="L624" s="78"/>
      <c r="M624" s="78"/>
      <c r="N624" s="78"/>
      <c r="O624" s="78"/>
      <c r="P624" s="78"/>
      <c r="Q624" s="78"/>
      <c r="R624" s="78"/>
      <c r="S624" s="78"/>
      <c r="T624" s="78"/>
      <c r="U624" s="78"/>
      <c r="V624" s="78"/>
      <c r="W624" s="78"/>
      <c r="X624" s="78"/>
      <c r="Y624" s="78"/>
      <c r="Z624" s="78"/>
      <c r="AA624" s="78"/>
      <c r="AB624" s="78"/>
    </row>
    <row r="625" spans="1:28" s="79" customFormat="1" ht="12.6" customHeight="1" x14ac:dyDescent="0.3">
      <c r="A625" s="102"/>
      <c r="B625" s="78"/>
      <c r="C625" s="78"/>
      <c r="D625" s="78"/>
      <c r="E625" s="78"/>
      <c r="F625" s="78"/>
      <c r="H625" s="78"/>
      <c r="I625" s="78"/>
      <c r="J625" s="78"/>
      <c r="K625" s="78"/>
      <c r="L625" s="78"/>
      <c r="M625" s="78"/>
      <c r="N625" s="78"/>
      <c r="O625" s="78"/>
      <c r="P625" s="78"/>
      <c r="Q625" s="78"/>
      <c r="R625" s="78"/>
      <c r="S625" s="78"/>
      <c r="T625" s="78"/>
      <c r="U625" s="78"/>
      <c r="V625" s="78"/>
      <c r="W625" s="78"/>
      <c r="X625" s="78"/>
      <c r="Y625" s="78"/>
      <c r="Z625" s="78"/>
      <c r="AA625" s="78"/>
      <c r="AB625" s="78"/>
    </row>
    <row r="626" spans="1:28" s="79" customFormat="1" ht="12.6" customHeight="1" x14ac:dyDescent="0.3">
      <c r="A626" s="102"/>
      <c r="B626" s="78"/>
      <c r="C626" s="78"/>
      <c r="D626" s="78"/>
      <c r="E626" s="78"/>
      <c r="F626" s="78"/>
      <c r="H626" s="78"/>
      <c r="I626" s="78"/>
      <c r="J626" s="78"/>
      <c r="K626" s="78"/>
      <c r="L626" s="78"/>
      <c r="M626" s="78"/>
      <c r="N626" s="78"/>
      <c r="O626" s="78"/>
      <c r="P626" s="78"/>
      <c r="Q626" s="78"/>
      <c r="R626" s="78"/>
      <c r="S626" s="78"/>
      <c r="T626" s="78"/>
      <c r="U626" s="78"/>
      <c r="V626" s="78"/>
      <c r="W626" s="78"/>
      <c r="X626" s="78"/>
      <c r="Y626" s="78"/>
      <c r="Z626" s="78"/>
      <c r="AA626" s="78"/>
      <c r="AB626" s="78"/>
    </row>
    <row r="627" spans="1:28" s="79" customFormat="1" ht="12.6" customHeight="1" x14ac:dyDescent="0.3">
      <c r="A627" s="102"/>
      <c r="B627" s="78"/>
      <c r="C627" s="78"/>
      <c r="D627" s="78"/>
      <c r="E627" s="78"/>
      <c r="F627" s="78"/>
      <c r="H627" s="78"/>
      <c r="I627" s="78"/>
      <c r="J627" s="78"/>
      <c r="K627" s="78"/>
      <c r="L627" s="78"/>
      <c r="M627" s="78"/>
      <c r="N627" s="78"/>
      <c r="O627" s="78"/>
      <c r="P627" s="78"/>
      <c r="Q627" s="78"/>
      <c r="R627" s="78"/>
      <c r="S627" s="78"/>
      <c r="T627" s="78"/>
      <c r="U627" s="78"/>
      <c r="V627" s="78"/>
      <c r="W627" s="78"/>
      <c r="X627" s="78"/>
      <c r="Y627" s="78"/>
      <c r="Z627" s="78"/>
      <c r="AA627" s="78"/>
      <c r="AB627" s="78"/>
    </row>
    <row r="628" spans="1:28" s="79" customFormat="1" ht="12.6" customHeight="1" x14ac:dyDescent="0.3">
      <c r="A628" s="102"/>
      <c r="B628" s="78"/>
      <c r="C628" s="78"/>
      <c r="D628" s="78"/>
      <c r="E628" s="78"/>
      <c r="F628" s="78"/>
      <c r="H628" s="78"/>
      <c r="I628" s="78"/>
      <c r="J628" s="78"/>
      <c r="K628" s="78"/>
      <c r="L628" s="78"/>
      <c r="M628" s="78"/>
      <c r="N628" s="78"/>
      <c r="O628" s="78"/>
      <c r="P628" s="78"/>
      <c r="Q628" s="78"/>
      <c r="R628" s="78"/>
      <c r="S628" s="78"/>
      <c r="T628" s="78"/>
      <c r="U628" s="78"/>
      <c r="V628" s="78"/>
      <c r="W628" s="78"/>
      <c r="X628" s="78"/>
      <c r="Y628" s="78"/>
      <c r="Z628" s="78"/>
      <c r="AA628" s="78"/>
      <c r="AB628" s="78"/>
    </row>
    <row r="629" spans="1:28" s="79" customFormat="1" ht="12.6" customHeight="1" x14ac:dyDescent="0.3">
      <c r="A629" s="102"/>
      <c r="B629" s="78"/>
      <c r="C629" s="78"/>
      <c r="D629" s="78"/>
      <c r="E629" s="78"/>
      <c r="F629" s="78"/>
      <c r="H629" s="78"/>
      <c r="I629" s="78"/>
      <c r="J629" s="78"/>
      <c r="K629" s="78"/>
      <c r="L629" s="78"/>
      <c r="M629" s="78"/>
      <c r="N629" s="78"/>
      <c r="O629" s="78"/>
      <c r="P629" s="78"/>
      <c r="Q629" s="78"/>
      <c r="R629" s="78"/>
      <c r="S629" s="78"/>
      <c r="T629" s="78"/>
      <c r="U629" s="78"/>
      <c r="V629" s="78"/>
      <c r="W629" s="78"/>
      <c r="X629" s="78"/>
      <c r="Y629" s="78"/>
      <c r="Z629" s="78"/>
      <c r="AA629" s="78"/>
      <c r="AB629" s="78"/>
    </row>
    <row r="630" spans="1:28" s="79" customFormat="1" ht="12.6" customHeight="1" x14ac:dyDescent="0.3">
      <c r="A630" s="102"/>
      <c r="B630" s="78"/>
      <c r="C630" s="78"/>
      <c r="D630" s="78"/>
      <c r="E630" s="78"/>
      <c r="F630" s="78"/>
      <c r="H630" s="78"/>
      <c r="I630" s="78"/>
      <c r="J630" s="78"/>
      <c r="K630" s="78"/>
      <c r="L630" s="78"/>
      <c r="M630" s="78"/>
      <c r="N630" s="78"/>
      <c r="O630" s="78"/>
      <c r="P630" s="78"/>
      <c r="Q630" s="78"/>
      <c r="R630" s="78"/>
      <c r="S630" s="78"/>
      <c r="T630" s="78"/>
      <c r="U630" s="78"/>
      <c r="V630" s="78"/>
      <c r="W630" s="78"/>
      <c r="X630" s="78"/>
      <c r="Y630" s="78"/>
      <c r="Z630" s="78"/>
      <c r="AA630" s="78"/>
      <c r="AB630" s="78"/>
    </row>
    <row r="631" spans="1:28" s="79" customFormat="1" ht="12.6" customHeight="1" x14ac:dyDescent="0.3">
      <c r="A631" s="102"/>
      <c r="B631" s="78"/>
      <c r="C631" s="78"/>
      <c r="D631" s="78"/>
      <c r="E631" s="78"/>
      <c r="F631" s="78"/>
      <c r="H631" s="78"/>
      <c r="I631" s="78"/>
      <c r="J631" s="78"/>
      <c r="K631" s="78"/>
      <c r="L631" s="78"/>
      <c r="M631" s="78"/>
      <c r="N631" s="78"/>
      <c r="O631" s="78"/>
      <c r="P631" s="78"/>
      <c r="Q631" s="78"/>
      <c r="R631" s="78"/>
      <c r="S631" s="78"/>
      <c r="T631" s="78"/>
      <c r="U631" s="78"/>
      <c r="V631" s="78"/>
      <c r="W631" s="78"/>
      <c r="X631" s="78"/>
      <c r="Y631" s="78"/>
      <c r="Z631" s="78"/>
      <c r="AA631" s="78"/>
      <c r="AB631" s="78"/>
    </row>
    <row r="632" spans="1:28" s="79" customFormat="1" ht="12.6" customHeight="1" x14ac:dyDescent="0.3">
      <c r="A632" s="102"/>
      <c r="B632" s="78"/>
      <c r="C632" s="78"/>
      <c r="D632" s="78"/>
      <c r="E632" s="78"/>
      <c r="F632" s="78"/>
      <c r="H632" s="78"/>
      <c r="I632" s="78"/>
      <c r="J632" s="78"/>
      <c r="K632" s="78"/>
      <c r="L632" s="78"/>
      <c r="M632" s="78"/>
      <c r="N632" s="78"/>
      <c r="O632" s="78"/>
      <c r="P632" s="78"/>
      <c r="Q632" s="78"/>
      <c r="R632" s="78"/>
      <c r="S632" s="78"/>
      <c r="T632" s="78"/>
      <c r="U632" s="78"/>
      <c r="V632" s="78"/>
      <c r="W632" s="78"/>
      <c r="X632" s="78"/>
      <c r="Y632" s="78"/>
      <c r="Z632" s="78"/>
      <c r="AA632" s="78"/>
      <c r="AB632" s="78"/>
    </row>
    <row r="633" spans="1:28" s="79" customFormat="1" ht="12.6" customHeight="1" x14ac:dyDescent="0.3">
      <c r="A633" s="102"/>
      <c r="B633" s="78"/>
      <c r="C633" s="78"/>
      <c r="D633" s="78"/>
      <c r="E633" s="78"/>
      <c r="F633" s="78"/>
      <c r="H633" s="78"/>
      <c r="I633" s="78"/>
      <c r="J633" s="78"/>
      <c r="K633" s="78"/>
      <c r="L633" s="78"/>
      <c r="M633" s="78"/>
      <c r="N633" s="78"/>
      <c r="O633" s="78"/>
      <c r="P633" s="78"/>
      <c r="Q633" s="78"/>
      <c r="R633" s="78"/>
      <c r="S633" s="78"/>
      <c r="T633" s="78"/>
      <c r="U633" s="78"/>
      <c r="V633" s="78"/>
      <c r="W633" s="78"/>
      <c r="X633" s="78"/>
      <c r="Y633" s="78"/>
      <c r="Z633" s="78"/>
      <c r="AA633" s="78"/>
      <c r="AB633" s="78"/>
    </row>
    <row r="634" spans="1:28" s="79" customFormat="1" ht="12.6" customHeight="1" x14ac:dyDescent="0.3">
      <c r="A634" s="102"/>
      <c r="B634" s="78"/>
      <c r="C634" s="78"/>
      <c r="D634" s="78"/>
      <c r="E634" s="78"/>
      <c r="F634" s="78"/>
      <c r="H634" s="78"/>
      <c r="I634" s="78"/>
      <c r="J634" s="78"/>
      <c r="K634" s="78"/>
      <c r="L634" s="78"/>
      <c r="M634" s="78"/>
      <c r="N634" s="78"/>
      <c r="O634" s="78"/>
      <c r="P634" s="78"/>
      <c r="Q634" s="78"/>
      <c r="R634" s="78"/>
      <c r="S634" s="78"/>
      <c r="T634" s="78"/>
      <c r="U634" s="78"/>
      <c r="V634" s="78"/>
      <c r="W634" s="78"/>
      <c r="X634" s="78"/>
      <c r="Y634" s="78"/>
      <c r="Z634" s="78"/>
      <c r="AA634" s="78"/>
      <c r="AB634" s="78"/>
    </row>
    <row r="635" spans="1:28" s="79" customFormat="1" ht="12.6" customHeight="1" x14ac:dyDescent="0.3">
      <c r="A635" s="102"/>
      <c r="B635" s="78"/>
      <c r="C635" s="78"/>
      <c r="D635" s="78"/>
      <c r="E635" s="78"/>
      <c r="F635" s="78"/>
      <c r="H635" s="78"/>
      <c r="I635" s="78"/>
      <c r="J635" s="78"/>
      <c r="K635" s="78"/>
      <c r="L635" s="78"/>
      <c r="M635" s="78"/>
      <c r="N635" s="78"/>
      <c r="O635" s="78"/>
      <c r="P635" s="78"/>
      <c r="Q635" s="78"/>
      <c r="R635" s="78"/>
      <c r="S635" s="78"/>
      <c r="T635" s="78"/>
      <c r="U635" s="78"/>
      <c r="V635" s="78"/>
      <c r="W635" s="78"/>
      <c r="X635" s="78"/>
      <c r="Y635" s="78"/>
      <c r="Z635" s="78"/>
      <c r="AA635" s="78"/>
      <c r="AB635" s="78"/>
    </row>
    <row r="636" spans="1:28" s="79" customFormat="1" ht="12.6" customHeight="1" x14ac:dyDescent="0.3">
      <c r="A636" s="102"/>
      <c r="B636" s="78"/>
      <c r="C636" s="78"/>
      <c r="D636" s="78"/>
      <c r="E636" s="78"/>
      <c r="F636" s="78"/>
      <c r="H636" s="78"/>
      <c r="I636" s="78"/>
      <c r="J636" s="78"/>
      <c r="K636" s="78"/>
      <c r="L636" s="78"/>
      <c r="M636" s="78"/>
      <c r="N636" s="78"/>
      <c r="O636" s="78"/>
      <c r="P636" s="78"/>
      <c r="Q636" s="78"/>
      <c r="R636" s="78"/>
      <c r="S636" s="78"/>
      <c r="T636" s="78"/>
      <c r="U636" s="78"/>
      <c r="V636" s="78"/>
      <c r="W636" s="78"/>
      <c r="X636" s="78"/>
      <c r="Y636" s="78"/>
      <c r="Z636" s="78"/>
      <c r="AA636" s="78"/>
      <c r="AB636" s="78"/>
    </row>
    <row r="637" spans="1:28" s="79" customFormat="1" ht="12.6" customHeight="1" x14ac:dyDescent="0.3">
      <c r="A637" s="102"/>
      <c r="B637" s="78"/>
      <c r="C637" s="78"/>
      <c r="D637" s="78"/>
      <c r="E637" s="78"/>
      <c r="F637" s="78"/>
      <c r="H637" s="78"/>
      <c r="I637" s="78"/>
      <c r="J637" s="78"/>
      <c r="K637" s="78"/>
      <c r="L637" s="78"/>
      <c r="M637" s="78"/>
      <c r="N637" s="78"/>
      <c r="O637" s="78"/>
      <c r="P637" s="78"/>
      <c r="Q637" s="78"/>
      <c r="R637" s="78"/>
      <c r="S637" s="78"/>
      <c r="T637" s="78"/>
      <c r="U637" s="78"/>
      <c r="V637" s="78"/>
      <c r="W637" s="78"/>
      <c r="X637" s="78"/>
      <c r="Y637" s="78"/>
      <c r="Z637" s="78"/>
      <c r="AA637" s="78"/>
      <c r="AB637" s="78"/>
    </row>
    <row r="638" spans="1:28" s="79" customFormat="1" ht="12.6" customHeight="1" x14ac:dyDescent="0.3">
      <c r="A638" s="102"/>
      <c r="B638" s="78"/>
      <c r="C638" s="78"/>
      <c r="D638" s="78"/>
      <c r="E638" s="78"/>
      <c r="F638" s="78"/>
      <c r="H638" s="78"/>
      <c r="I638" s="78"/>
      <c r="J638" s="78"/>
      <c r="K638" s="78"/>
      <c r="L638" s="78"/>
      <c r="M638" s="78"/>
      <c r="N638" s="78"/>
      <c r="O638" s="78"/>
      <c r="P638" s="78"/>
      <c r="Q638" s="78"/>
      <c r="R638" s="78"/>
      <c r="S638" s="78"/>
      <c r="T638" s="78"/>
      <c r="U638" s="78"/>
      <c r="V638" s="78"/>
      <c r="W638" s="78"/>
      <c r="X638" s="78"/>
      <c r="Y638" s="78"/>
      <c r="Z638" s="78"/>
      <c r="AA638" s="78"/>
      <c r="AB638" s="78"/>
    </row>
    <row r="639" spans="1:28" s="79" customFormat="1" ht="12.6" customHeight="1" x14ac:dyDescent="0.3">
      <c r="A639" s="102"/>
      <c r="B639" s="78"/>
      <c r="C639" s="78"/>
      <c r="D639" s="78"/>
      <c r="E639" s="78"/>
      <c r="F639" s="78"/>
      <c r="H639" s="78"/>
      <c r="I639" s="78"/>
      <c r="J639" s="78"/>
      <c r="K639" s="78"/>
      <c r="L639" s="78"/>
      <c r="M639" s="78"/>
      <c r="N639" s="78"/>
      <c r="O639" s="78"/>
      <c r="P639" s="78"/>
      <c r="Q639" s="78"/>
      <c r="R639" s="78"/>
      <c r="S639" s="78"/>
      <c r="T639" s="78"/>
      <c r="U639" s="78"/>
      <c r="V639" s="78"/>
      <c r="W639" s="78"/>
      <c r="X639" s="78"/>
      <c r="Y639" s="78"/>
      <c r="Z639" s="78"/>
      <c r="AA639" s="78"/>
      <c r="AB639" s="78"/>
    </row>
    <row r="640" spans="1:28" s="79" customFormat="1" ht="12.6" customHeight="1" x14ac:dyDescent="0.3">
      <c r="A640" s="102"/>
      <c r="B640" s="78"/>
      <c r="C640" s="78"/>
      <c r="D640" s="78"/>
      <c r="E640" s="78"/>
      <c r="F640" s="78"/>
      <c r="H640" s="78"/>
      <c r="I640" s="78"/>
      <c r="J640" s="78"/>
      <c r="K640" s="78"/>
      <c r="L640" s="78"/>
      <c r="M640" s="78"/>
      <c r="N640" s="78"/>
      <c r="O640" s="78"/>
      <c r="P640" s="78"/>
      <c r="Q640" s="78"/>
      <c r="R640" s="78"/>
      <c r="S640" s="78"/>
      <c r="T640" s="78"/>
      <c r="U640" s="78"/>
      <c r="V640" s="78"/>
      <c r="W640" s="78"/>
      <c r="X640" s="78"/>
      <c r="Y640" s="78"/>
      <c r="Z640" s="78"/>
      <c r="AA640" s="78"/>
      <c r="AB640" s="78"/>
    </row>
    <row r="641" spans="1:28" s="79" customFormat="1" ht="12.6" customHeight="1" x14ac:dyDescent="0.3">
      <c r="A641" s="102"/>
      <c r="B641" s="78"/>
      <c r="C641" s="78"/>
      <c r="D641" s="78"/>
      <c r="E641" s="78"/>
      <c r="F641" s="78"/>
      <c r="H641" s="78"/>
      <c r="I641" s="78"/>
      <c r="J641" s="78"/>
      <c r="K641" s="78"/>
      <c r="L641" s="78"/>
      <c r="M641" s="78"/>
      <c r="N641" s="78"/>
      <c r="O641" s="78"/>
      <c r="P641" s="78"/>
      <c r="Q641" s="78"/>
      <c r="R641" s="78"/>
      <c r="S641" s="78"/>
      <c r="T641" s="78"/>
      <c r="U641" s="78"/>
      <c r="V641" s="78"/>
      <c r="W641" s="78"/>
      <c r="X641" s="78"/>
      <c r="Y641" s="78"/>
      <c r="Z641" s="78"/>
      <c r="AA641" s="78"/>
      <c r="AB641" s="78"/>
    </row>
    <row r="642" spans="1:28" s="79" customFormat="1" ht="12.6" customHeight="1" x14ac:dyDescent="0.3">
      <c r="A642" s="102"/>
      <c r="B642" s="78"/>
      <c r="C642" s="78"/>
      <c r="D642" s="78"/>
      <c r="E642" s="78"/>
      <c r="F642" s="78"/>
      <c r="H642" s="78"/>
      <c r="I642" s="78"/>
      <c r="J642" s="78"/>
      <c r="K642" s="78"/>
      <c r="L642" s="78"/>
      <c r="M642" s="78"/>
      <c r="N642" s="78"/>
      <c r="O642" s="78"/>
      <c r="P642" s="78"/>
      <c r="Q642" s="78"/>
      <c r="R642" s="78"/>
      <c r="S642" s="78"/>
      <c r="T642" s="78"/>
      <c r="U642" s="78"/>
      <c r="V642" s="78"/>
      <c r="W642" s="78"/>
      <c r="X642" s="78"/>
      <c r="Y642" s="78"/>
      <c r="Z642" s="78"/>
      <c r="AA642" s="78"/>
      <c r="AB642" s="78"/>
    </row>
    <row r="643" spans="1:28" s="79" customFormat="1" ht="12.6" customHeight="1" x14ac:dyDescent="0.3">
      <c r="A643" s="102"/>
      <c r="B643" s="78"/>
      <c r="C643" s="78"/>
      <c r="D643" s="78"/>
      <c r="E643" s="78"/>
      <c r="F643" s="78"/>
      <c r="H643" s="78"/>
      <c r="I643" s="78"/>
      <c r="J643" s="78"/>
      <c r="K643" s="78"/>
      <c r="L643" s="78"/>
      <c r="M643" s="78"/>
      <c r="N643" s="78"/>
      <c r="O643" s="78"/>
      <c r="P643" s="78"/>
      <c r="Q643" s="78"/>
      <c r="R643" s="78"/>
      <c r="S643" s="78"/>
      <c r="T643" s="78"/>
      <c r="U643" s="78"/>
      <c r="V643" s="78"/>
      <c r="W643" s="78"/>
      <c r="X643" s="78"/>
      <c r="Y643" s="78"/>
      <c r="Z643" s="78"/>
      <c r="AA643" s="78"/>
      <c r="AB643" s="78"/>
    </row>
    <row r="644" spans="1:28" s="79" customFormat="1" ht="12.6" customHeight="1" x14ac:dyDescent="0.3">
      <c r="A644" s="102"/>
      <c r="B644" s="78"/>
      <c r="C644" s="78"/>
      <c r="D644" s="78"/>
      <c r="E644" s="78"/>
      <c r="F644" s="78"/>
      <c r="H644" s="78"/>
      <c r="I644" s="78"/>
      <c r="J644" s="78"/>
      <c r="K644" s="78"/>
      <c r="L644" s="78"/>
      <c r="M644" s="78"/>
      <c r="N644" s="78"/>
      <c r="O644" s="78"/>
      <c r="P644" s="78"/>
      <c r="Q644" s="78"/>
      <c r="R644" s="78"/>
      <c r="S644" s="78"/>
      <c r="T644" s="78"/>
      <c r="U644" s="78"/>
      <c r="V644" s="78"/>
      <c r="W644" s="78"/>
      <c r="X644" s="78"/>
      <c r="Y644" s="78"/>
      <c r="Z644" s="78"/>
      <c r="AA644" s="78"/>
      <c r="AB644" s="78"/>
    </row>
    <row r="645" spans="1:28" s="79" customFormat="1" ht="12.6" customHeight="1" x14ac:dyDescent="0.3">
      <c r="A645" s="102"/>
      <c r="B645" s="78"/>
      <c r="C645" s="78"/>
      <c r="D645" s="78"/>
      <c r="E645" s="78"/>
      <c r="F645" s="78"/>
      <c r="H645" s="78"/>
      <c r="I645" s="78"/>
      <c r="J645" s="78"/>
      <c r="K645" s="78"/>
      <c r="L645" s="78"/>
      <c r="M645" s="78"/>
      <c r="N645" s="78"/>
      <c r="O645" s="78"/>
      <c r="P645" s="78"/>
      <c r="Q645" s="78"/>
      <c r="R645" s="78"/>
      <c r="S645" s="78"/>
      <c r="T645" s="78"/>
      <c r="U645" s="78"/>
      <c r="V645" s="78"/>
      <c r="W645" s="78"/>
      <c r="X645" s="78"/>
      <c r="Y645" s="78"/>
      <c r="Z645" s="78"/>
      <c r="AA645" s="78"/>
      <c r="AB645" s="78"/>
    </row>
    <row r="646" spans="1:28" s="79" customFormat="1" ht="12.6" customHeight="1" x14ac:dyDescent="0.3">
      <c r="A646" s="102"/>
      <c r="B646" s="78"/>
      <c r="C646" s="78"/>
      <c r="D646" s="78"/>
      <c r="E646" s="78"/>
      <c r="F646" s="78"/>
      <c r="H646" s="78"/>
      <c r="I646" s="78"/>
      <c r="J646" s="78"/>
      <c r="K646" s="78"/>
      <c r="L646" s="78"/>
      <c r="M646" s="78"/>
      <c r="N646" s="78"/>
      <c r="O646" s="78"/>
      <c r="P646" s="78"/>
      <c r="Q646" s="78"/>
      <c r="R646" s="78"/>
      <c r="S646" s="78"/>
      <c r="T646" s="78"/>
      <c r="U646" s="78"/>
      <c r="V646" s="78"/>
      <c r="W646" s="78"/>
      <c r="X646" s="78"/>
      <c r="Y646" s="78"/>
      <c r="Z646" s="78"/>
      <c r="AA646" s="78"/>
      <c r="AB646" s="78"/>
    </row>
    <row r="647" spans="1:28" s="79" customFormat="1" ht="12.6" customHeight="1" x14ac:dyDescent="0.3">
      <c r="A647" s="102"/>
      <c r="B647" s="78"/>
      <c r="C647" s="78"/>
      <c r="D647" s="78"/>
      <c r="E647" s="78"/>
      <c r="F647" s="78"/>
      <c r="H647" s="78"/>
      <c r="I647" s="78"/>
      <c r="J647" s="78"/>
      <c r="K647" s="78"/>
      <c r="L647" s="78"/>
      <c r="M647" s="78"/>
      <c r="N647" s="78"/>
      <c r="O647" s="78"/>
      <c r="P647" s="78"/>
      <c r="Q647" s="78"/>
      <c r="R647" s="78"/>
      <c r="S647" s="78"/>
      <c r="T647" s="78"/>
      <c r="U647" s="78"/>
      <c r="V647" s="78"/>
      <c r="W647" s="78"/>
      <c r="X647" s="78"/>
      <c r="Y647" s="78"/>
      <c r="Z647" s="78"/>
      <c r="AA647" s="78"/>
      <c r="AB647" s="78"/>
    </row>
    <row r="648" spans="1:28" s="79" customFormat="1" ht="12.6" customHeight="1" x14ac:dyDescent="0.3">
      <c r="A648" s="102"/>
      <c r="B648" s="78"/>
      <c r="C648" s="78"/>
      <c r="D648" s="78"/>
      <c r="E648" s="78"/>
      <c r="F648" s="78"/>
      <c r="H648" s="78"/>
      <c r="I648" s="78"/>
      <c r="J648" s="78"/>
      <c r="K648" s="78"/>
      <c r="L648" s="78"/>
      <c r="M648" s="78"/>
      <c r="N648" s="78"/>
      <c r="O648" s="78"/>
      <c r="P648" s="78"/>
      <c r="Q648" s="78"/>
      <c r="R648" s="78"/>
      <c r="S648" s="78"/>
      <c r="T648" s="78"/>
      <c r="U648" s="78"/>
      <c r="V648" s="78"/>
      <c r="W648" s="78"/>
      <c r="X648" s="78"/>
      <c r="Y648" s="78"/>
      <c r="Z648" s="78"/>
      <c r="AA648" s="78"/>
      <c r="AB648" s="78"/>
    </row>
    <row r="649" spans="1:28" s="79" customFormat="1" ht="12.6" customHeight="1" x14ac:dyDescent="0.3">
      <c r="A649" s="102"/>
      <c r="B649" s="78"/>
      <c r="C649" s="78"/>
      <c r="D649" s="78"/>
      <c r="E649" s="78"/>
      <c r="F649" s="78"/>
      <c r="H649" s="78"/>
      <c r="I649" s="78"/>
      <c r="J649" s="78"/>
      <c r="K649" s="78"/>
      <c r="L649" s="78"/>
      <c r="M649" s="78"/>
      <c r="N649" s="78"/>
      <c r="O649" s="78"/>
      <c r="P649" s="78"/>
      <c r="Q649" s="78"/>
      <c r="R649" s="78"/>
      <c r="S649" s="78"/>
      <c r="T649" s="78"/>
      <c r="U649" s="78"/>
      <c r="V649" s="78"/>
      <c r="W649" s="78"/>
      <c r="X649" s="78"/>
      <c r="Y649" s="78"/>
      <c r="Z649" s="78"/>
      <c r="AA649" s="78"/>
      <c r="AB649" s="78"/>
    </row>
    <row r="650" spans="1:28" s="79" customFormat="1" ht="12.6" customHeight="1" x14ac:dyDescent="0.3">
      <c r="A650" s="102"/>
      <c r="B650" s="78"/>
      <c r="C650" s="78"/>
      <c r="D650" s="78"/>
      <c r="E650" s="78"/>
      <c r="F650" s="78"/>
      <c r="H650" s="78"/>
      <c r="I650" s="78"/>
      <c r="J650" s="78"/>
      <c r="K650" s="78"/>
      <c r="L650" s="78"/>
      <c r="M650" s="78"/>
      <c r="N650" s="78"/>
      <c r="O650" s="78"/>
      <c r="P650" s="78"/>
      <c r="Q650" s="78"/>
      <c r="R650" s="78"/>
      <c r="S650" s="78"/>
      <c r="T650" s="78"/>
      <c r="U650" s="78"/>
      <c r="V650" s="78"/>
      <c r="W650" s="78"/>
      <c r="X650" s="78"/>
      <c r="Y650" s="78"/>
      <c r="Z650" s="78"/>
      <c r="AA650" s="78"/>
      <c r="AB650" s="78"/>
    </row>
    <row r="651" spans="1:28" s="79" customFormat="1" ht="12.6" customHeight="1" x14ac:dyDescent="0.3">
      <c r="A651" s="102"/>
      <c r="B651" s="78"/>
      <c r="C651" s="78"/>
      <c r="D651" s="78"/>
      <c r="E651" s="78"/>
      <c r="F651" s="78"/>
      <c r="H651" s="78"/>
      <c r="I651" s="78"/>
      <c r="J651" s="78"/>
      <c r="K651" s="78"/>
      <c r="L651" s="78"/>
      <c r="M651" s="78"/>
      <c r="N651" s="78"/>
      <c r="O651" s="78"/>
      <c r="P651" s="78"/>
      <c r="Q651" s="78"/>
      <c r="R651" s="78"/>
      <c r="S651" s="78"/>
      <c r="T651" s="78"/>
      <c r="U651" s="78"/>
      <c r="V651" s="78"/>
      <c r="W651" s="78"/>
      <c r="X651" s="78"/>
      <c r="Y651" s="78"/>
      <c r="Z651" s="78"/>
      <c r="AA651" s="78"/>
      <c r="AB651" s="78"/>
    </row>
    <row r="652" spans="1:28" s="79" customFormat="1" ht="12.6" customHeight="1" x14ac:dyDescent="0.3">
      <c r="A652" s="102"/>
      <c r="B652" s="78"/>
      <c r="C652" s="78"/>
      <c r="D652" s="78"/>
      <c r="E652" s="78"/>
      <c r="F652" s="78"/>
      <c r="H652" s="78"/>
      <c r="I652" s="78"/>
      <c r="J652" s="78"/>
      <c r="K652" s="78"/>
      <c r="L652" s="78"/>
      <c r="M652" s="78"/>
      <c r="N652" s="78"/>
      <c r="O652" s="78"/>
      <c r="P652" s="78"/>
      <c r="Q652" s="78"/>
      <c r="R652" s="78"/>
      <c r="S652" s="78"/>
      <c r="T652" s="78"/>
      <c r="U652" s="78"/>
      <c r="V652" s="78"/>
      <c r="W652" s="78"/>
      <c r="X652" s="78"/>
      <c r="Y652" s="78"/>
      <c r="Z652" s="78"/>
      <c r="AA652" s="78"/>
      <c r="AB652" s="78"/>
    </row>
    <row r="653" spans="1:28" s="79" customFormat="1" ht="12.6" customHeight="1" x14ac:dyDescent="0.3">
      <c r="A653" s="102"/>
      <c r="B653" s="78"/>
      <c r="C653" s="78"/>
      <c r="D653" s="78"/>
      <c r="E653" s="78"/>
      <c r="F653" s="78"/>
      <c r="H653" s="78"/>
      <c r="I653" s="78"/>
      <c r="J653" s="78"/>
      <c r="K653" s="78"/>
      <c r="L653" s="78"/>
      <c r="M653" s="78"/>
      <c r="N653" s="78"/>
      <c r="O653" s="78"/>
      <c r="P653" s="78"/>
      <c r="Q653" s="78"/>
      <c r="R653" s="78"/>
      <c r="S653" s="78"/>
      <c r="T653" s="78"/>
      <c r="U653" s="78"/>
      <c r="V653" s="78"/>
      <c r="W653" s="78"/>
      <c r="X653" s="78"/>
      <c r="Y653" s="78"/>
      <c r="Z653" s="78"/>
      <c r="AA653" s="78"/>
      <c r="AB653" s="78"/>
    </row>
    <row r="654" spans="1:28" s="79" customFormat="1" ht="12.6" customHeight="1" x14ac:dyDescent="0.3">
      <c r="A654" s="102"/>
      <c r="B654" s="78"/>
      <c r="C654" s="78"/>
      <c r="D654" s="78"/>
      <c r="E654" s="78"/>
      <c r="F654" s="78"/>
      <c r="H654" s="78"/>
      <c r="I654" s="78"/>
      <c r="J654" s="78"/>
      <c r="K654" s="78"/>
      <c r="L654" s="78"/>
      <c r="M654" s="78"/>
      <c r="N654" s="78"/>
      <c r="O654" s="78"/>
      <c r="P654" s="78"/>
      <c r="Q654" s="78"/>
      <c r="R654" s="78"/>
      <c r="S654" s="78"/>
      <c r="T654" s="78"/>
      <c r="U654" s="78"/>
      <c r="V654" s="78"/>
      <c r="W654" s="78"/>
      <c r="X654" s="78"/>
      <c r="Y654" s="78"/>
      <c r="Z654" s="78"/>
      <c r="AA654" s="78"/>
      <c r="AB654" s="78"/>
    </row>
    <row r="655" spans="1:28" s="79" customFormat="1" ht="12.6" customHeight="1" x14ac:dyDescent="0.3">
      <c r="A655" s="102"/>
      <c r="B655" s="78"/>
      <c r="C655" s="78"/>
      <c r="D655" s="78"/>
      <c r="E655" s="78"/>
      <c r="F655" s="78"/>
      <c r="H655" s="78"/>
      <c r="I655" s="78"/>
      <c r="J655" s="78"/>
      <c r="K655" s="78"/>
      <c r="L655" s="78"/>
      <c r="M655" s="78"/>
      <c r="N655" s="78"/>
      <c r="O655" s="78"/>
      <c r="P655" s="78"/>
      <c r="Q655" s="78"/>
      <c r="R655" s="78"/>
      <c r="S655" s="78"/>
      <c r="T655" s="78"/>
      <c r="U655" s="78"/>
      <c r="V655" s="78"/>
      <c r="W655" s="78"/>
      <c r="X655" s="78"/>
      <c r="Y655" s="78"/>
      <c r="Z655" s="78"/>
      <c r="AA655" s="78"/>
      <c r="AB655" s="78"/>
    </row>
    <row r="656" spans="1:28" s="79" customFormat="1" ht="12.6" customHeight="1" x14ac:dyDescent="0.3">
      <c r="A656" s="102"/>
      <c r="B656" s="78"/>
      <c r="C656" s="78"/>
      <c r="D656" s="78"/>
      <c r="E656" s="78"/>
      <c r="F656" s="78"/>
      <c r="H656" s="78"/>
      <c r="I656" s="78"/>
      <c r="J656" s="78"/>
      <c r="K656" s="78"/>
      <c r="L656" s="78"/>
      <c r="M656" s="78"/>
      <c r="N656" s="78"/>
      <c r="O656" s="78"/>
      <c r="P656" s="78"/>
      <c r="Q656" s="78"/>
      <c r="R656" s="78"/>
      <c r="S656" s="78"/>
      <c r="T656" s="78"/>
      <c r="U656" s="78"/>
      <c r="V656" s="78"/>
      <c r="W656" s="78"/>
      <c r="X656" s="78"/>
      <c r="Y656" s="78"/>
      <c r="Z656" s="78"/>
      <c r="AA656" s="78"/>
      <c r="AB656" s="78"/>
    </row>
    <row r="657" spans="1:28" s="79" customFormat="1" ht="12.6" customHeight="1" x14ac:dyDescent="0.3">
      <c r="A657" s="102"/>
      <c r="B657" s="78"/>
      <c r="C657" s="78"/>
      <c r="D657" s="78"/>
      <c r="E657" s="78"/>
      <c r="F657" s="78"/>
      <c r="H657" s="78"/>
      <c r="I657" s="78"/>
      <c r="J657" s="78"/>
      <c r="K657" s="78"/>
      <c r="L657" s="78"/>
      <c r="M657" s="78"/>
      <c r="N657" s="78"/>
      <c r="O657" s="78"/>
      <c r="P657" s="78"/>
      <c r="Q657" s="78"/>
      <c r="R657" s="78"/>
      <c r="S657" s="78"/>
      <c r="T657" s="78"/>
      <c r="U657" s="78"/>
      <c r="V657" s="78"/>
      <c r="W657" s="78"/>
      <c r="X657" s="78"/>
      <c r="Y657" s="78"/>
      <c r="Z657" s="78"/>
      <c r="AA657" s="78"/>
      <c r="AB657" s="78"/>
    </row>
    <row r="658" spans="1:28" s="79" customFormat="1" ht="12.6" customHeight="1" x14ac:dyDescent="0.3">
      <c r="A658" s="102"/>
      <c r="B658" s="78"/>
      <c r="C658" s="78"/>
      <c r="D658" s="78"/>
      <c r="E658" s="78"/>
      <c r="F658" s="78"/>
      <c r="H658" s="78"/>
      <c r="I658" s="78"/>
      <c r="J658" s="78"/>
      <c r="K658" s="78"/>
      <c r="L658" s="78"/>
      <c r="M658" s="78"/>
      <c r="N658" s="78"/>
      <c r="O658" s="78"/>
      <c r="P658" s="78"/>
      <c r="Q658" s="78"/>
      <c r="R658" s="78"/>
      <c r="S658" s="78"/>
      <c r="T658" s="78"/>
      <c r="U658" s="78"/>
      <c r="V658" s="78"/>
      <c r="W658" s="78"/>
      <c r="X658" s="78"/>
      <c r="Y658" s="78"/>
      <c r="Z658" s="78"/>
      <c r="AA658" s="78"/>
      <c r="AB658" s="78"/>
    </row>
    <row r="659" spans="1:28" s="79" customFormat="1" ht="12.6" customHeight="1" x14ac:dyDescent="0.3">
      <c r="A659" s="102"/>
      <c r="B659" s="78"/>
      <c r="C659" s="78"/>
      <c r="D659" s="78"/>
      <c r="E659" s="78"/>
      <c r="F659" s="78"/>
      <c r="H659" s="78"/>
      <c r="I659" s="78"/>
      <c r="J659" s="78"/>
      <c r="K659" s="78"/>
      <c r="L659" s="78"/>
      <c r="M659" s="78"/>
      <c r="N659" s="78"/>
      <c r="O659" s="78"/>
      <c r="P659" s="78"/>
      <c r="Q659" s="78"/>
      <c r="R659" s="78"/>
      <c r="S659" s="78"/>
      <c r="T659" s="78"/>
      <c r="U659" s="78"/>
      <c r="V659" s="78"/>
      <c r="W659" s="78"/>
      <c r="X659" s="78"/>
      <c r="Y659" s="78"/>
      <c r="Z659" s="78"/>
      <c r="AA659" s="78"/>
      <c r="AB659" s="78"/>
    </row>
    <row r="660" spans="1:28" s="79" customFormat="1" ht="12.6" customHeight="1" x14ac:dyDescent="0.3">
      <c r="A660" s="102"/>
      <c r="B660" s="78"/>
      <c r="C660" s="78"/>
      <c r="D660" s="78"/>
      <c r="E660" s="78"/>
      <c r="F660" s="78"/>
      <c r="H660" s="78"/>
      <c r="I660" s="78"/>
      <c r="J660" s="78"/>
      <c r="K660" s="78"/>
      <c r="L660" s="78"/>
      <c r="M660" s="78"/>
      <c r="N660" s="78"/>
      <c r="O660" s="78"/>
      <c r="P660" s="78"/>
      <c r="Q660" s="78"/>
      <c r="R660" s="78"/>
      <c r="S660" s="78"/>
      <c r="T660" s="78"/>
      <c r="U660" s="78"/>
      <c r="V660" s="78"/>
      <c r="W660" s="78"/>
      <c r="X660" s="78"/>
      <c r="Y660" s="78"/>
      <c r="Z660" s="78"/>
      <c r="AA660" s="78"/>
      <c r="AB660" s="78"/>
    </row>
    <row r="661" spans="1:28" s="79" customFormat="1" ht="12.6" customHeight="1" x14ac:dyDescent="0.3">
      <c r="A661" s="102"/>
      <c r="B661" s="78"/>
      <c r="C661" s="78"/>
      <c r="D661" s="78"/>
      <c r="E661" s="78"/>
      <c r="F661" s="78"/>
      <c r="H661" s="78"/>
      <c r="I661" s="78"/>
      <c r="J661" s="78"/>
      <c r="K661" s="78"/>
      <c r="L661" s="78"/>
      <c r="M661" s="78"/>
      <c r="N661" s="78"/>
      <c r="O661" s="78"/>
      <c r="P661" s="78"/>
      <c r="Q661" s="78"/>
      <c r="R661" s="78"/>
      <c r="S661" s="78"/>
      <c r="T661" s="78"/>
      <c r="U661" s="78"/>
      <c r="V661" s="78"/>
      <c r="W661" s="78"/>
      <c r="X661" s="78"/>
      <c r="Y661" s="78"/>
      <c r="Z661" s="78"/>
      <c r="AA661" s="78"/>
      <c r="AB661" s="78"/>
    </row>
    <row r="662" spans="1:28" s="79" customFormat="1" ht="12.6" customHeight="1" x14ac:dyDescent="0.3">
      <c r="A662" s="102"/>
      <c r="B662" s="78"/>
      <c r="C662" s="78"/>
      <c r="D662" s="78"/>
      <c r="E662" s="78"/>
      <c r="F662" s="78"/>
      <c r="H662" s="78"/>
      <c r="I662" s="78"/>
      <c r="J662" s="78"/>
      <c r="K662" s="78"/>
      <c r="L662" s="78"/>
      <c r="M662" s="78"/>
      <c r="N662" s="78"/>
      <c r="O662" s="78"/>
      <c r="P662" s="78"/>
      <c r="Q662" s="78"/>
      <c r="R662" s="78"/>
      <c r="S662" s="78"/>
      <c r="T662" s="78"/>
      <c r="U662" s="78"/>
      <c r="V662" s="78"/>
      <c r="W662" s="78"/>
      <c r="X662" s="78"/>
      <c r="Y662" s="78"/>
      <c r="Z662" s="78"/>
      <c r="AA662" s="78"/>
      <c r="AB662" s="78"/>
    </row>
    <row r="663" spans="1:28" s="79" customFormat="1" ht="12.6" customHeight="1" x14ac:dyDescent="0.3">
      <c r="A663" s="102"/>
      <c r="B663" s="78"/>
      <c r="C663" s="78"/>
      <c r="D663" s="78"/>
      <c r="E663" s="78"/>
      <c r="F663" s="78"/>
      <c r="H663" s="78"/>
      <c r="I663" s="78"/>
      <c r="J663" s="78"/>
      <c r="K663" s="78"/>
      <c r="L663" s="78"/>
      <c r="M663" s="78"/>
      <c r="N663" s="78"/>
      <c r="O663" s="78"/>
      <c r="P663" s="78"/>
      <c r="Q663" s="78"/>
      <c r="R663" s="78"/>
      <c r="S663" s="78"/>
      <c r="T663" s="78"/>
      <c r="U663" s="78"/>
      <c r="V663" s="78"/>
      <c r="W663" s="78"/>
      <c r="X663" s="78"/>
      <c r="Y663" s="78"/>
      <c r="Z663" s="78"/>
      <c r="AA663" s="78"/>
      <c r="AB663" s="78"/>
    </row>
    <row r="664" spans="1:28" s="79" customFormat="1" ht="12.6" customHeight="1" x14ac:dyDescent="0.3">
      <c r="A664" s="102"/>
      <c r="B664" s="78"/>
      <c r="C664" s="78"/>
      <c r="D664" s="78"/>
      <c r="E664" s="78"/>
      <c r="F664" s="78"/>
      <c r="H664" s="78"/>
      <c r="I664" s="78"/>
      <c r="J664" s="78"/>
      <c r="K664" s="78"/>
      <c r="L664" s="78"/>
      <c r="M664" s="78"/>
      <c r="N664" s="78"/>
      <c r="O664" s="78"/>
      <c r="P664" s="78"/>
      <c r="Q664" s="78"/>
      <c r="R664" s="78"/>
      <c r="S664" s="78"/>
      <c r="T664" s="78"/>
      <c r="U664" s="78"/>
      <c r="V664" s="78"/>
      <c r="W664" s="78"/>
      <c r="X664" s="78"/>
      <c r="Y664" s="78"/>
      <c r="Z664" s="78"/>
      <c r="AA664" s="78"/>
      <c r="AB664" s="78"/>
    </row>
    <row r="665" spans="1:28" s="79" customFormat="1" ht="12.6" customHeight="1" x14ac:dyDescent="0.3">
      <c r="A665" s="102"/>
      <c r="B665" s="78"/>
      <c r="C665" s="78"/>
      <c r="D665" s="78"/>
      <c r="E665" s="78"/>
      <c r="F665" s="78"/>
      <c r="H665" s="78"/>
      <c r="I665" s="78"/>
      <c r="J665" s="78"/>
      <c r="K665" s="78"/>
      <c r="L665" s="78"/>
      <c r="M665" s="78"/>
      <c r="N665" s="78"/>
      <c r="O665" s="78"/>
      <c r="P665" s="78"/>
      <c r="Q665" s="78"/>
      <c r="R665" s="78"/>
      <c r="S665" s="78"/>
      <c r="T665" s="78"/>
      <c r="U665" s="78"/>
      <c r="V665" s="78"/>
      <c r="W665" s="78"/>
      <c r="X665" s="78"/>
      <c r="Y665" s="78"/>
      <c r="Z665" s="78"/>
      <c r="AA665" s="78"/>
      <c r="AB665" s="78"/>
    </row>
    <row r="666" spans="1:28" s="79" customFormat="1" ht="12.6" customHeight="1" x14ac:dyDescent="0.3">
      <c r="A666" s="102"/>
      <c r="B666" s="78"/>
      <c r="C666" s="78"/>
      <c r="D666" s="78"/>
      <c r="E666" s="78"/>
      <c r="F666" s="78"/>
      <c r="H666" s="78"/>
      <c r="I666" s="78"/>
      <c r="J666" s="78"/>
      <c r="K666" s="78"/>
      <c r="L666" s="78"/>
      <c r="M666" s="78"/>
      <c r="N666" s="78"/>
      <c r="O666" s="78"/>
      <c r="P666" s="78"/>
      <c r="Q666" s="78"/>
      <c r="R666" s="78"/>
      <c r="S666" s="78"/>
      <c r="T666" s="78"/>
      <c r="U666" s="78"/>
      <c r="V666" s="78"/>
      <c r="W666" s="78"/>
      <c r="X666" s="78"/>
      <c r="Y666" s="78"/>
      <c r="Z666" s="78"/>
      <c r="AA666" s="78"/>
      <c r="AB666" s="78"/>
    </row>
    <row r="667" spans="1:28" s="79" customFormat="1" ht="12.6" customHeight="1" x14ac:dyDescent="0.3">
      <c r="A667" s="102"/>
      <c r="B667" s="78"/>
      <c r="C667" s="78"/>
      <c r="D667" s="78"/>
      <c r="E667" s="78"/>
      <c r="F667" s="78"/>
      <c r="H667" s="78"/>
      <c r="I667" s="78"/>
      <c r="J667" s="78"/>
      <c r="K667" s="78"/>
      <c r="L667" s="78"/>
      <c r="M667" s="78"/>
      <c r="N667" s="78"/>
      <c r="O667" s="78"/>
      <c r="P667" s="78"/>
      <c r="Q667" s="78"/>
      <c r="R667" s="78"/>
      <c r="S667" s="78"/>
      <c r="T667" s="78"/>
      <c r="U667" s="78"/>
      <c r="V667" s="78"/>
      <c r="W667" s="78"/>
      <c r="X667" s="78"/>
      <c r="Y667" s="78"/>
      <c r="Z667" s="78"/>
      <c r="AA667" s="78"/>
      <c r="AB667" s="78"/>
    </row>
    <row r="668" spans="1:28" s="79" customFormat="1" ht="12.6" customHeight="1" x14ac:dyDescent="0.3">
      <c r="A668" s="102"/>
      <c r="B668" s="78"/>
      <c r="C668" s="78"/>
      <c r="D668" s="78"/>
      <c r="E668" s="78"/>
      <c r="F668" s="78"/>
      <c r="H668" s="78"/>
      <c r="I668" s="78"/>
      <c r="J668" s="78"/>
      <c r="K668" s="78"/>
      <c r="L668" s="78"/>
      <c r="M668" s="78"/>
      <c r="N668" s="78"/>
      <c r="O668" s="78"/>
      <c r="P668" s="78"/>
      <c r="Q668" s="78"/>
      <c r="R668" s="78"/>
      <c r="S668" s="78"/>
      <c r="T668" s="78"/>
      <c r="U668" s="78"/>
      <c r="V668" s="78"/>
      <c r="W668" s="78"/>
      <c r="X668" s="78"/>
      <c r="Y668" s="78"/>
      <c r="Z668" s="78"/>
      <c r="AA668" s="78"/>
      <c r="AB668" s="78"/>
    </row>
    <row r="669" spans="1:28" s="79" customFormat="1" ht="12.6" customHeight="1" x14ac:dyDescent="0.3">
      <c r="A669" s="102"/>
      <c r="B669" s="78"/>
      <c r="C669" s="78"/>
      <c r="D669" s="78"/>
      <c r="E669" s="78"/>
      <c r="F669" s="78"/>
      <c r="H669" s="78"/>
      <c r="I669" s="78"/>
      <c r="J669" s="78"/>
      <c r="K669" s="78"/>
      <c r="L669" s="78"/>
      <c r="M669" s="78"/>
      <c r="N669" s="78"/>
      <c r="O669" s="78"/>
      <c r="P669" s="78"/>
      <c r="Q669" s="78"/>
      <c r="R669" s="78"/>
      <c r="S669" s="78"/>
      <c r="T669" s="78"/>
      <c r="U669" s="78"/>
      <c r="V669" s="78"/>
      <c r="W669" s="78"/>
      <c r="X669" s="78"/>
      <c r="Y669" s="78"/>
      <c r="Z669" s="78"/>
      <c r="AA669" s="78"/>
      <c r="AB669" s="78"/>
    </row>
    <row r="670" spans="1:28" s="79" customFormat="1" ht="12.6" customHeight="1" x14ac:dyDescent="0.3">
      <c r="A670" s="102"/>
      <c r="B670" s="78"/>
      <c r="C670" s="78"/>
      <c r="D670" s="78"/>
      <c r="E670" s="78"/>
      <c r="F670" s="78"/>
      <c r="H670" s="78"/>
      <c r="I670" s="78"/>
      <c r="J670" s="78"/>
      <c r="K670" s="78"/>
      <c r="L670" s="78"/>
      <c r="M670" s="78"/>
      <c r="N670" s="78"/>
      <c r="O670" s="78"/>
      <c r="P670" s="78"/>
      <c r="Q670" s="78"/>
      <c r="R670" s="78"/>
      <c r="S670" s="78"/>
      <c r="T670" s="78"/>
      <c r="U670" s="78"/>
      <c r="V670" s="78"/>
      <c r="W670" s="78"/>
      <c r="X670" s="78"/>
      <c r="Y670" s="78"/>
      <c r="Z670" s="78"/>
      <c r="AA670" s="78"/>
      <c r="AB670" s="78"/>
    </row>
    <row r="671" spans="1:28" s="79" customFormat="1" ht="12.6" customHeight="1" x14ac:dyDescent="0.3">
      <c r="A671" s="102"/>
      <c r="B671" s="78"/>
      <c r="C671" s="78"/>
      <c r="D671" s="78"/>
      <c r="E671" s="78"/>
      <c r="F671" s="78"/>
      <c r="H671" s="78"/>
      <c r="I671" s="78"/>
      <c r="J671" s="78"/>
      <c r="K671" s="78"/>
      <c r="L671" s="78"/>
      <c r="M671" s="78"/>
      <c r="N671" s="78"/>
      <c r="O671" s="78"/>
      <c r="P671" s="78"/>
      <c r="Q671" s="78"/>
      <c r="R671" s="78"/>
      <c r="S671" s="78"/>
      <c r="T671" s="78"/>
      <c r="U671" s="78"/>
      <c r="V671" s="78"/>
      <c r="W671" s="78"/>
      <c r="X671" s="78"/>
      <c r="Y671" s="78"/>
      <c r="Z671" s="78"/>
      <c r="AA671" s="78"/>
      <c r="AB671" s="78"/>
    </row>
    <row r="672" spans="1:28" s="79" customFormat="1" ht="12.6" customHeight="1" x14ac:dyDescent="0.3">
      <c r="A672" s="102"/>
      <c r="B672" s="78"/>
      <c r="C672" s="78"/>
      <c r="D672" s="78"/>
      <c r="E672" s="78"/>
      <c r="F672" s="78"/>
      <c r="H672" s="78"/>
      <c r="I672" s="78"/>
      <c r="J672" s="78"/>
      <c r="K672" s="78"/>
      <c r="L672" s="78"/>
      <c r="M672" s="78"/>
      <c r="N672" s="78"/>
      <c r="O672" s="78"/>
      <c r="P672" s="78"/>
      <c r="Q672" s="78"/>
      <c r="R672" s="78"/>
      <c r="S672" s="78"/>
      <c r="T672" s="78"/>
      <c r="U672" s="78"/>
      <c r="V672" s="78"/>
      <c r="W672" s="78"/>
      <c r="X672" s="78"/>
      <c r="Y672" s="78"/>
      <c r="Z672" s="78"/>
      <c r="AA672" s="78"/>
      <c r="AB672" s="78"/>
    </row>
    <row r="673" spans="1:28" s="79" customFormat="1" ht="12.6" customHeight="1" x14ac:dyDescent="0.3">
      <c r="A673" s="102"/>
      <c r="B673" s="78"/>
      <c r="C673" s="78"/>
      <c r="D673" s="78"/>
      <c r="E673" s="78"/>
      <c r="F673" s="78"/>
      <c r="H673" s="78"/>
      <c r="I673" s="78"/>
      <c r="J673" s="78"/>
      <c r="K673" s="78"/>
      <c r="L673" s="78"/>
      <c r="M673" s="78"/>
      <c r="N673" s="78"/>
      <c r="O673" s="78"/>
      <c r="P673" s="78"/>
      <c r="Q673" s="78"/>
      <c r="R673" s="78"/>
      <c r="S673" s="78"/>
      <c r="T673" s="78"/>
      <c r="U673" s="78"/>
      <c r="V673" s="78"/>
      <c r="W673" s="78"/>
      <c r="X673" s="78"/>
      <c r="Y673" s="78"/>
      <c r="Z673" s="78"/>
      <c r="AA673" s="78"/>
      <c r="AB673" s="78"/>
    </row>
    <row r="674" spans="1:28" s="79" customFormat="1" ht="12.6" customHeight="1" x14ac:dyDescent="0.3">
      <c r="A674" s="102"/>
      <c r="B674" s="78"/>
      <c r="C674" s="78"/>
      <c r="D674" s="78"/>
      <c r="E674" s="78"/>
      <c r="F674" s="78"/>
      <c r="H674" s="78"/>
      <c r="I674" s="78"/>
      <c r="J674" s="78"/>
      <c r="K674" s="78"/>
      <c r="L674" s="78"/>
      <c r="M674" s="78"/>
      <c r="N674" s="78"/>
      <c r="O674" s="78"/>
      <c r="P674" s="78"/>
      <c r="Q674" s="78"/>
      <c r="R674" s="78"/>
      <c r="S674" s="78"/>
      <c r="T674" s="78"/>
      <c r="U674" s="78"/>
      <c r="V674" s="78"/>
      <c r="W674" s="78"/>
      <c r="X674" s="78"/>
      <c r="Y674" s="78"/>
      <c r="Z674" s="78"/>
      <c r="AA674" s="78"/>
      <c r="AB674" s="78"/>
    </row>
    <row r="675" spans="1:28" s="79" customFormat="1" ht="12.6" customHeight="1" x14ac:dyDescent="0.3">
      <c r="A675" s="102"/>
      <c r="B675" s="78"/>
      <c r="C675" s="78"/>
      <c r="D675" s="78"/>
      <c r="E675" s="78"/>
      <c r="F675" s="78"/>
      <c r="H675" s="78"/>
      <c r="I675" s="78"/>
      <c r="J675" s="78"/>
      <c r="K675" s="78"/>
      <c r="L675" s="78"/>
      <c r="M675" s="78"/>
      <c r="N675" s="78"/>
      <c r="O675" s="78"/>
      <c r="P675" s="78"/>
      <c r="Q675" s="78"/>
      <c r="R675" s="78"/>
      <c r="S675" s="78"/>
      <c r="T675" s="78"/>
      <c r="U675" s="78"/>
      <c r="V675" s="78"/>
      <c r="W675" s="78"/>
      <c r="X675" s="78"/>
      <c r="Y675" s="78"/>
      <c r="Z675" s="78"/>
      <c r="AA675" s="78"/>
      <c r="AB675" s="78"/>
    </row>
    <row r="676" spans="1:28" s="79" customFormat="1" ht="12.6" customHeight="1" x14ac:dyDescent="0.3">
      <c r="A676" s="102"/>
      <c r="B676" s="78"/>
      <c r="C676" s="78"/>
      <c r="D676" s="78"/>
      <c r="E676" s="78"/>
      <c r="F676" s="78"/>
      <c r="H676" s="78"/>
      <c r="I676" s="78"/>
      <c r="J676" s="78"/>
      <c r="K676" s="78"/>
      <c r="L676" s="78"/>
      <c r="M676" s="78"/>
      <c r="N676" s="78"/>
      <c r="O676" s="78"/>
      <c r="P676" s="78"/>
      <c r="Q676" s="78"/>
      <c r="R676" s="78"/>
      <c r="S676" s="78"/>
      <c r="T676" s="78"/>
      <c r="U676" s="78"/>
      <c r="V676" s="78"/>
      <c r="W676" s="78"/>
      <c r="X676" s="78"/>
      <c r="Y676" s="78"/>
      <c r="Z676" s="78"/>
      <c r="AA676" s="78"/>
      <c r="AB676" s="78"/>
    </row>
    <row r="677" spans="1:28" s="79" customFormat="1" ht="12.6" customHeight="1" x14ac:dyDescent="0.3">
      <c r="A677" s="102"/>
      <c r="B677" s="78"/>
      <c r="C677" s="78"/>
      <c r="D677" s="78"/>
      <c r="E677" s="78"/>
      <c r="F677" s="78"/>
      <c r="H677" s="78"/>
      <c r="I677" s="78"/>
      <c r="J677" s="78"/>
      <c r="K677" s="78"/>
      <c r="L677" s="78"/>
      <c r="M677" s="78"/>
      <c r="N677" s="78"/>
      <c r="O677" s="78"/>
      <c r="P677" s="78"/>
      <c r="Q677" s="78"/>
      <c r="R677" s="78"/>
      <c r="S677" s="78"/>
      <c r="T677" s="78"/>
      <c r="U677" s="78"/>
      <c r="V677" s="78"/>
      <c r="W677" s="78"/>
      <c r="X677" s="78"/>
      <c r="Y677" s="78"/>
      <c r="Z677" s="78"/>
      <c r="AA677" s="78"/>
      <c r="AB677" s="78"/>
    </row>
    <row r="678" spans="1:28" s="79" customFormat="1" ht="12.6" customHeight="1" x14ac:dyDescent="0.3">
      <c r="A678" s="102"/>
      <c r="B678" s="78"/>
      <c r="C678" s="78"/>
      <c r="D678" s="78"/>
      <c r="E678" s="78"/>
      <c r="F678" s="78"/>
      <c r="H678" s="78"/>
      <c r="I678" s="78"/>
      <c r="J678" s="78"/>
      <c r="K678" s="78"/>
      <c r="L678" s="78"/>
      <c r="M678" s="78"/>
      <c r="N678" s="78"/>
      <c r="O678" s="78"/>
      <c r="P678" s="78"/>
      <c r="Q678" s="78"/>
      <c r="R678" s="78"/>
      <c r="S678" s="78"/>
      <c r="T678" s="78"/>
      <c r="U678" s="78"/>
      <c r="V678" s="78"/>
      <c r="W678" s="78"/>
      <c r="X678" s="78"/>
      <c r="Y678" s="78"/>
      <c r="Z678" s="78"/>
      <c r="AA678" s="78"/>
      <c r="AB678" s="78"/>
    </row>
    <row r="679" spans="1:28" s="79" customFormat="1" ht="12.6" customHeight="1" x14ac:dyDescent="0.3">
      <c r="A679" s="102"/>
      <c r="B679" s="78"/>
      <c r="C679" s="78"/>
      <c r="D679" s="78"/>
      <c r="E679" s="78"/>
      <c r="F679" s="78"/>
      <c r="H679" s="78"/>
      <c r="I679" s="78"/>
      <c r="J679" s="78"/>
      <c r="K679" s="78"/>
      <c r="L679" s="78"/>
      <c r="M679" s="78"/>
      <c r="N679" s="78"/>
      <c r="O679" s="78"/>
      <c r="P679" s="78"/>
      <c r="Q679" s="78"/>
      <c r="R679" s="78"/>
      <c r="S679" s="78"/>
      <c r="T679" s="78"/>
      <c r="U679" s="78"/>
      <c r="V679" s="78"/>
      <c r="W679" s="78"/>
      <c r="X679" s="78"/>
      <c r="Y679" s="78"/>
      <c r="Z679" s="78"/>
      <c r="AA679" s="78"/>
      <c r="AB679" s="78"/>
    </row>
    <row r="680" spans="1:28" s="79" customFormat="1" ht="12.6" customHeight="1" x14ac:dyDescent="0.3">
      <c r="A680" s="102"/>
      <c r="B680" s="78"/>
      <c r="C680" s="78"/>
      <c r="D680" s="78"/>
      <c r="E680" s="78"/>
      <c r="F680" s="78"/>
      <c r="H680" s="78"/>
      <c r="I680" s="78"/>
      <c r="J680" s="78"/>
      <c r="K680" s="78"/>
      <c r="L680" s="78"/>
      <c r="M680" s="78"/>
      <c r="N680" s="78"/>
      <c r="O680" s="78"/>
      <c r="P680" s="78"/>
      <c r="Q680" s="78"/>
      <c r="R680" s="78"/>
      <c r="S680" s="78"/>
      <c r="T680" s="78"/>
      <c r="U680" s="78"/>
      <c r="V680" s="78"/>
      <c r="W680" s="78"/>
      <c r="X680" s="78"/>
      <c r="Y680" s="78"/>
      <c r="Z680" s="78"/>
      <c r="AA680" s="78"/>
      <c r="AB680" s="78"/>
    </row>
    <row r="681" spans="1:28" s="79" customFormat="1" ht="12.6" customHeight="1" x14ac:dyDescent="0.3">
      <c r="A681" s="102"/>
      <c r="B681" s="78"/>
      <c r="C681" s="78"/>
      <c r="D681" s="78"/>
      <c r="E681" s="78"/>
      <c r="F681" s="78"/>
      <c r="H681" s="78"/>
      <c r="I681" s="78"/>
      <c r="J681" s="78"/>
      <c r="K681" s="78"/>
      <c r="L681" s="78"/>
      <c r="M681" s="78"/>
      <c r="N681" s="78"/>
      <c r="O681" s="78"/>
      <c r="P681" s="78"/>
      <c r="Q681" s="78"/>
      <c r="R681" s="78"/>
      <c r="S681" s="78"/>
      <c r="T681" s="78"/>
      <c r="U681" s="78"/>
      <c r="V681" s="78"/>
      <c r="W681" s="78"/>
      <c r="X681" s="78"/>
      <c r="Y681" s="78"/>
      <c r="Z681" s="78"/>
      <c r="AA681" s="78"/>
      <c r="AB681" s="78"/>
    </row>
    <row r="682" spans="1:28" s="79" customFormat="1" ht="12.6" customHeight="1" x14ac:dyDescent="0.3">
      <c r="A682" s="102"/>
      <c r="B682" s="78"/>
      <c r="C682" s="78"/>
      <c r="D682" s="78"/>
      <c r="E682" s="78"/>
      <c r="F682" s="78"/>
      <c r="H682" s="78"/>
      <c r="I682" s="78"/>
      <c r="J682" s="78"/>
      <c r="K682" s="78"/>
      <c r="L682" s="78"/>
      <c r="M682" s="78"/>
      <c r="N682" s="78"/>
      <c r="O682" s="78"/>
      <c r="P682" s="78"/>
      <c r="Q682" s="78"/>
      <c r="R682" s="78"/>
      <c r="S682" s="78"/>
      <c r="T682" s="78"/>
      <c r="U682" s="78"/>
      <c r="V682" s="78"/>
      <c r="W682" s="78"/>
      <c r="X682" s="78"/>
      <c r="Y682" s="78"/>
      <c r="Z682" s="78"/>
      <c r="AA682" s="78"/>
      <c r="AB682" s="78"/>
    </row>
    <row r="683" spans="1:28" s="79" customFormat="1" ht="12.6" customHeight="1" x14ac:dyDescent="0.3">
      <c r="A683" s="102"/>
      <c r="B683" s="78"/>
      <c r="C683" s="78"/>
      <c r="D683" s="78"/>
      <c r="E683" s="78"/>
      <c r="F683" s="78"/>
      <c r="H683" s="78"/>
      <c r="I683" s="78"/>
      <c r="J683" s="78"/>
      <c r="K683" s="78"/>
      <c r="L683" s="78"/>
      <c r="M683" s="78"/>
      <c r="N683" s="78"/>
      <c r="O683" s="78"/>
      <c r="P683" s="78"/>
      <c r="Q683" s="78"/>
      <c r="R683" s="78"/>
      <c r="S683" s="78"/>
      <c r="T683" s="78"/>
      <c r="U683" s="78"/>
      <c r="V683" s="78"/>
      <c r="W683" s="78"/>
      <c r="X683" s="78"/>
      <c r="Y683" s="78"/>
      <c r="Z683" s="78"/>
      <c r="AA683" s="78"/>
      <c r="AB683" s="78"/>
    </row>
    <row r="684" spans="1:28" s="79" customFormat="1" ht="12.6" customHeight="1" x14ac:dyDescent="0.3">
      <c r="A684" s="102"/>
      <c r="B684" s="78"/>
      <c r="C684" s="78"/>
      <c r="D684" s="78"/>
      <c r="E684" s="78"/>
      <c r="F684" s="78"/>
      <c r="H684" s="78"/>
      <c r="I684" s="78"/>
      <c r="J684" s="78"/>
      <c r="K684" s="78"/>
      <c r="L684" s="78"/>
      <c r="M684" s="78"/>
      <c r="N684" s="78"/>
      <c r="O684" s="78"/>
      <c r="P684" s="78"/>
      <c r="Q684" s="78"/>
      <c r="R684" s="78"/>
      <c r="S684" s="78"/>
      <c r="T684" s="78"/>
      <c r="U684" s="78"/>
      <c r="V684" s="78"/>
      <c r="W684" s="78"/>
      <c r="X684" s="78"/>
      <c r="Y684" s="78"/>
      <c r="Z684" s="78"/>
      <c r="AA684" s="78"/>
      <c r="AB684" s="78"/>
    </row>
    <row r="685" spans="1:28" s="79" customFormat="1" ht="12.6" customHeight="1" x14ac:dyDescent="0.3">
      <c r="A685" s="102"/>
      <c r="B685" s="78"/>
      <c r="C685" s="78"/>
      <c r="D685" s="78"/>
      <c r="E685" s="78"/>
      <c r="F685" s="78"/>
      <c r="H685" s="78"/>
      <c r="I685" s="78"/>
      <c r="J685" s="78"/>
      <c r="K685" s="78"/>
      <c r="L685" s="78"/>
      <c r="M685" s="78"/>
      <c r="N685" s="78"/>
      <c r="O685" s="78"/>
      <c r="P685" s="78"/>
      <c r="Q685" s="78"/>
      <c r="R685" s="78"/>
      <c r="S685" s="78"/>
      <c r="T685" s="78"/>
      <c r="U685" s="78"/>
      <c r="V685" s="78"/>
      <c r="W685" s="78"/>
      <c r="X685" s="78"/>
      <c r="Y685" s="78"/>
      <c r="Z685" s="78"/>
      <c r="AA685" s="78"/>
      <c r="AB685" s="78"/>
    </row>
    <row r="686" spans="1:28" s="79" customFormat="1" ht="12.6" customHeight="1" x14ac:dyDescent="0.3">
      <c r="A686" s="102"/>
      <c r="B686" s="78"/>
      <c r="C686" s="78"/>
      <c r="D686" s="78"/>
      <c r="E686" s="78"/>
      <c r="F686" s="78"/>
      <c r="H686" s="78"/>
      <c r="I686" s="78"/>
      <c r="J686" s="78"/>
      <c r="K686" s="78"/>
      <c r="L686" s="78"/>
      <c r="M686" s="78"/>
      <c r="N686" s="78"/>
      <c r="O686" s="78"/>
      <c r="P686" s="78"/>
      <c r="Q686" s="78"/>
      <c r="R686" s="78"/>
      <c r="S686" s="78"/>
      <c r="T686" s="78"/>
      <c r="U686" s="78"/>
      <c r="V686" s="78"/>
      <c r="W686" s="78"/>
      <c r="X686" s="78"/>
      <c r="Y686" s="78"/>
      <c r="Z686" s="78"/>
      <c r="AA686" s="78"/>
      <c r="AB686" s="78"/>
    </row>
    <row r="687" spans="1:28" s="79" customFormat="1" ht="12.6" customHeight="1" x14ac:dyDescent="0.3">
      <c r="A687" s="102"/>
      <c r="B687" s="78"/>
      <c r="C687" s="78"/>
      <c r="D687" s="78"/>
      <c r="E687" s="78"/>
      <c r="F687" s="78"/>
      <c r="H687" s="78"/>
      <c r="I687" s="78"/>
      <c r="J687" s="78"/>
      <c r="K687" s="78"/>
      <c r="L687" s="78"/>
      <c r="M687" s="78"/>
      <c r="N687" s="78"/>
      <c r="O687" s="78"/>
      <c r="P687" s="78"/>
      <c r="Q687" s="78"/>
      <c r="R687" s="78"/>
      <c r="S687" s="78"/>
      <c r="T687" s="78"/>
      <c r="U687" s="78"/>
      <c r="V687" s="78"/>
      <c r="W687" s="78"/>
      <c r="X687" s="78"/>
      <c r="Y687" s="78"/>
      <c r="Z687" s="78"/>
      <c r="AA687" s="78"/>
      <c r="AB687" s="78"/>
    </row>
    <row r="688" spans="1:28" s="79" customFormat="1" ht="12.6" customHeight="1" x14ac:dyDescent="0.3">
      <c r="A688" s="102"/>
      <c r="B688" s="78"/>
      <c r="C688" s="78"/>
      <c r="D688" s="78"/>
      <c r="E688" s="78"/>
      <c r="F688" s="78"/>
      <c r="H688" s="78"/>
      <c r="I688" s="78"/>
      <c r="J688" s="78"/>
      <c r="K688" s="78"/>
      <c r="L688" s="78"/>
      <c r="M688" s="78"/>
      <c r="N688" s="78"/>
      <c r="O688" s="78"/>
      <c r="P688" s="78"/>
      <c r="Q688" s="78"/>
      <c r="R688" s="78"/>
      <c r="S688" s="78"/>
      <c r="T688" s="78"/>
      <c r="U688" s="78"/>
      <c r="V688" s="78"/>
      <c r="W688" s="78"/>
      <c r="X688" s="78"/>
      <c r="Y688" s="78"/>
      <c r="Z688" s="78"/>
      <c r="AA688" s="78"/>
      <c r="AB688" s="78"/>
    </row>
    <row r="689" spans="1:28" s="79" customFormat="1" ht="12.6" customHeight="1" x14ac:dyDescent="0.3">
      <c r="A689" s="102"/>
      <c r="B689" s="78"/>
      <c r="C689" s="78"/>
      <c r="D689" s="78"/>
      <c r="E689" s="78"/>
      <c r="F689" s="78"/>
      <c r="H689" s="78"/>
      <c r="I689" s="78"/>
      <c r="J689" s="78"/>
      <c r="K689" s="78"/>
      <c r="L689" s="78"/>
      <c r="M689" s="78"/>
      <c r="N689" s="78"/>
      <c r="O689" s="78"/>
      <c r="P689" s="78"/>
      <c r="Q689" s="78"/>
      <c r="R689" s="78"/>
      <c r="S689" s="78"/>
      <c r="T689" s="78"/>
      <c r="U689" s="78"/>
      <c r="V689" s="78"/>
      <c r="W689" s="78"/>
      <c r="X689" s="78"/>
      <c r="Y689" s="78"/>
      <c r="Z689" s="78"/>
      <c r="AA689" s="78"/>
      <c r="AB689" s="78"/>
    </row>
    <row r="690" spans="1:28" s="79" customFormat="1" ht="12.6" customHeight="1" x14ac:dyDescent="0.3">
      <c r="A690" s="102"/>
      <c r="B690" s="78"/>
      <c r="C690" s="78"/>
      <c r="D690" s="78"/>
      <c r="E690" s="78"/>
      <c r="F690" s="78"/>
      <c r="H690" s="78"/>
      <c r="I690" s="78"/>
      <c r="J690" s="78"/>
      <c r="K690" s="78"/>
      <c r="L690" s="78"/>
      <c r="M690" s="78"/>
      <c r="N690" s="78"/>
      <c r="O690" s="78"/>
      <c r="P690" s="78"/>
      <c r="Q690" s="78"/>
      <c r="R690" s="78"/>
      <c r="S690" s="78"/>
      <c r="T690" s="78"/>
      <c r="U690" s="78"/>
      <c r="V690" s="78"/>
      <c r="W690" s="78"/>
      <c r="X690" s="78"/>
      <c r="Y690" s="78"/>
      <c r="Z690" s="78"/>
      <c r="AA690" s="78"/>
      <c r="AB690" s="78"/>
    </row>
    <row r="691" spans="1:28" s="79" customFormat="1" ht="12.6" customHeight="1" x14ac:dyDescent="0.3">
      <c r="A691" s="102"/>
      <c r="B691" s="78"/>
      <c r="C691" s="78"/>
      <c r="D691" s="78"/>
      <c r="E691" s="78"/>
      <c r="F691" s="78"/>
      <c r="H691" s="78"/>
      <c r="I691" s="78"/>
      <c r="J691" s="78"/>
      <c r="K691" s="78"/>
      <c r="L691" s="78"/>
      <c r="M691" s="78"/>
      <c r="N691" s="78"/>
      <c r="O691" s="78"/>
      <c r="P691" s="78"/>
      <c r="Q691" s="78"/>
      <c r="R691" s="78"/>
      <c r="S691" s="78"/>
      <c r="T691" s="78"/>
      <c r="U691" s="78"/>
      <c r="V691" s="78"/>
      <c r="W691" s="78"/>
      <c r="X691" s="78"/>
      <c r="Y691" s="78"/>
      <c r="Z691" s="78"/>
      <c r="AA691" s="78"/>
      <c r="AB691" s="78"/>
    </row>
    <row r="692" spans="1:28" s="79" customFormat="1" ht="12.6" customHeight="1" x14ac:dyDescent="0.3">
      <c r="A692" s="102"/>
      <c r="B692" s="78"/>
      <c r="C692" s="78"/>
      <c r="D692" s="78"/>
      <c r="E692" s="78"/>
      <c r="F692" s="78"/>
      <c r="H692" s="78"/>
      <c r="I692" s="78"/>
      <c r="J692" s="78"/>
      <c r="K692" s="78"/>
      <c r="L692" s="78"/>
      <c r="M692" s="78"/>
      <c r="N692" s="78"/>
      <c r="O692" s="78"/>
      <c r="P692" s="78"/>
      <c r="Q692" s="78"/>
      <c r="R692" s="78"/>
      <c r="S692" s="78"/>
      <c r="T692" s="78"/>
      <c r="U692" s="78"/>
      <c r="V692" s="78"/>
      <c r="W692" s="78"/>
      <c r="X692" s="78"/>
      <c r="Y692" s="78"/>
      <c r="Z692" s="78"/>
      <c r="AA692" s="78"/>
      <c r="AB692" s="78"/>
    </row>
    <row r="693" spans="1:28" s="79" customFormat="1" ht="12.6" customHeight="1" x14ac:dyDescent="0.3">
      <c r="A693" s="102"/>
      <c r="B693" s="78"/>
      <c r="C693" s="78"/>
      <c r="D693" s="78"/>
      <c r="E693" s="78"/>
      <c r="F693" s="78"/>
      <c r="H693" s="78"/>
      <c r="I693" s="78"/>
      <c r="J693" s="78"/>
      <c r="K693" s="78"/>
      <c r="L693" s="78"/>
      <c r="M693" s="78"/>
      <c r="N693" s="78"/>
      <c r="O693" s="78"/>
      <c r="P693" s="78"/>
      <c r="Q693" s="78"/>
      <c r="R693" s="78"/>
      <c r="S693" s="78"/>
      <c r="T693" s="78"/>
      <c r="U693" s="78"/>
      <c r="V693" s="78"/>
      <c r="W693" s="78"/>
      <c r="X693" s="78"/>
      <c r="Y693" s="78"/>
      <c r="Z693" s="78"/>
      <c r="AA693" s="78"/>
      <c r="AB693" s="78"/>
    </row>
    <row r="694" spans="1:28" s="79" customFormat="1" ht="12.6" customHeight="1" x14ac:dyDescent="0.3">
      <c r="A694" s="102"/>
      <c r="B694" s="78"/>
      <c r="C694" s="78"/>
      <c r="D694" s="78"/>
      <c r="E694" s="78"/>
      <c r="F694" s="78"/>
      <c r="H694" s="78"/>
      <c r="I694" s="78"/>
      <c r="J694" s="78"/>
      <c r="K694" s="78"/>
      <c r="L694" s="78"/>
      <c r="M694" s="78"/>
      <c r="N694" s="78"/>
      <c r="O694" s="78"/>
      <c r="P694" s="78"/>
      <c r="Q694" s="78"/>
      <c r="R694" s="78"/>
      <c r="S694" s="78"/>
      <c r="T694" s="78"/>
      <c r="U694" s="78"/>
      <c r="V694" s="78"/>
      <c r="W694" s="78"/>
      <c r="X694" s="78"/>
      <c r="Y694" s="78"/>
      <c r="Z694" s="78"/>
      <c r="AA694" s="78"/>
      <c r="AB694" s="78"/>
    </row>
    <row r="695" spans="1:28" s="79" customFormat="1" ht="12.6" customHeight="1" x14ac:dyDescent="0.3">
      <c r="A695" s="102"/>
      <c r="B695" s="78"/>
      <c r="C695" s="78"/>
      <c r="D695" s="78"/>
      <c r="E695" s="78"/>
      <c r="F695" s="78"/>
      <c r="H695" s="78"/>
      <c r="I695" s="78"/>
      <c r="J695" s="78"/>
      <c r="K695" s="78"/>
      <c r="L695" s="78"/>
      <c r="M695" s="78"/>
      <c r="N695" s="78"/>
      <c r="O695" s="78"/>
      <c r="P695" s="78"/>
      <c r="Q695" s="78"/>
      <c r="R695" s="78"/>
      <c r="S695" s="78"/>
      <c r="T695" s="78"/>
      <c r="U695" s="78"/>
      <c r="V695" s="78"/>
      <c r="W695" s="78"/>
      <c r="X695" s="78"/>
      <c r="Y695" s="78"/>
      <c r="Z695" s="78"/>
      <c r="AA695" s="78"/>
      <c r="AB695" s="78"/>
    </row>
    <row r="696" spans="1:28" s="79" customFormat="1" ht="12.6" customHeight="1" x14ac:dyDescent="0.3">
      <c r="A696" s="102"/>
      <c r="B696" s="78"/>
      <c r="C696" s="78"/>
      <c r="D696" s="78"/>
      <c r="E696" s="78"/>
      <c r="F696" s="78"/>
      <c r="H696" s="78"/>
      <c r="I696" s="78"/>
      <c r="J696" s="78"/>
      <c r="K696" s="78"/>
      <c r="L696" s="78"/>
      <c r="M696" s="78"/>
      <c r="N696" s="78"/>
      <c r="O696" s="78"/>
      <c r="P696" s="78"/>
      <c r="Q696" s="78"/>
      <c r="R696" s="78"/>
      <c r="S696" s="78"/>
      <c r="T696" s="78"/>
      <c r="U696" s="78"/>
      <c r="V696" s="78"/>
      <c r="W696" s="78"/>
      <c r="X696" s="78"/>
      <c r="Y696" s="78"/>
      <c r="Z696" s="78"/>
      <c r="AA696" s="78"/>
      <c r="AB696" s="78"/>
    </row>
    <row r="697" spans="1:28" s="79" customFormat="1" ht="12.6" customHeight="1" x14ac:dyDescent="0.3">
      <c r="A697" s="102"/>
      <c r="B697" s="78"/>
      <c r="C697" s="78"/>
      <c r="D697" s="78"/>
      <c r="E697" s="78"/>
      <c r="F697" s="78"/>
      <c r="H697" s="78"/>
      <c r="I697" s="78"/>
      <c r="J697" s="78"/>
      <c r="K697" s="78"/>
      <c r="L697" s="78"/>
      <c r="M697" s="78"/>
      <c r="N697" s="78"/>
      <c r="O697" s="78"/>
      <c r="P697" s="78"/>
      <c r="Q697" s="78"/>
      <c r="R697" s="78"/>
      <c r="S697" s="78"/>
      <c r="T697" s="78"/>
      <c r="U697" s="78"/>
      <c r="V697" s="78"/>
      <c r="W697" s="78"/>
      <c r="X697" s="78"/>
      <c r="Y697" s="78"/>
      <c r="Z697" s="78"/>
      <c r="AA697" s="78"/>
      <c r="AB697" s="78"/>
    </row>
    <row r="698" spans="1:28" s="79" customFormat="1" ht="12.6" customHeight="1" x14ac:dyDescent="0.3">
      <c r="A698" s="102"/>
      <c r="B698" s="78"/>
      <c r="C698" s="78"/>
      <c r="D698" s="78"/>
      <c r="E698" s="78"/>
      <c r="F698" s="78"/>
      <c r="H698" s="78"/>
      <c r="I698" s="78"/>
      <c r="J698" s="78"/>
      <c r="K698" s="78"/>
      <c r="L698" s="78"/>
      <c r="M698" s="78"/>
      <c r="N698" s="78"/>
      <c r="O698" s="78"/>
      <c r="P698" s="78"/>
      <c r="Q698" s="78"/>
      <c r="R698" s="78"/>
      <c r="S698" s="78"/>
      <c r="T698" s="78"/>
      <c r="U698" s="78"/>
      <c r="V698" s="78"/>
      <c r="W698" s="78"/>
      <c r="X698" s="78"/>
      <c r="Y698" s="78"/>
      <c r="Z698" s="78"/>
      <c r="AA698" s="78"/>
      <c r="AB698" s="78"/>
    </row>
    <row r="699" spans="1:28" s="79" customFormat="1" ht="12.6" customHeight="1" x14ac:dyDescent="0.3">
      <c r="A699" s="102"/>
      <c r="B699" s="78"/>
      <c r="C699" s="78"/>
      <c r="D699" s="78"/>
      <c r="E699" s="78"/>
      <c r="F699" s="78"/>
      <c r="H699" s="78"/>
      <c r="I699" s="78"/>
      <c r="J699" s="78"/>
      <c r="K699" s="78"/>
      <c r="L699" s="78"/>
      <c r="M699" s="78"/>
      <c r="N699" s="78"/>
      <c r="O699" s="78"/>
      <c r="P699" s="78"/>
      <c r="Q699" s="78"/>
      <c r="R699" s="78"/>
      <c r="S699" s="78"/>
      <c r="T699" s="78"/>
      <c r="U699" s="78"/>
      <c r="V699" s="78"/>
      <c r="W699" s="78"/>
      <c r="X699" s="78"/>
      <c r="Y699" s="78"/>
      <c r="Z699" s="78"/>
      <c r="AA699" s="78"/>
      <c r="AB699" s="78"/>
    </row>
    <row r="700" spans="1:28" s="79" customFormat="1" ht="12.6" customHeight="1" x14ac:dyDescent="0.3">
      <c r="A700" s="102"/>
      <c r="B700" s="78"/>
      <c r="C700" s="78"/>
      <c r="D700" s="78"/>
      <c r="E700" s="78"/>
      <c r="F700" s="78"/>
      <c r="H700" s="78"/>
      <c r="I700" s="78"/>
      <c r="J700" s="78"/>
      <c r="K700" s="78"/>
      <c r="L700" s="78"/>
      <c r="M700" s="78"/>
      <c r="N700" s="78"/>
      <c r="O700" s="78"/>
      <c r="P700" s="78"/>
      <c r="Q700" s="78"/>
      <c r="R700" s="78"/>
      <c r="S700" s="78"/>
      <c r="T700" s="78"/>
      <c r="U700" s="78"/>
      <c r="V700" s="78"/>
      <c r="W700" s="78"/>
      <c r="X700" s="78"/>
      <c r="Y700" s="78"/>
      <c r="Z700" s="78"/>
      <c r="AA700" s="78"/>
      <c r="AB700" s="78"/>
    </row>
    <row r="701" spans="1:28" s="79" customFormat="1" ht="12.6" customHeight="1" x14ac:dyDescent="0.3">
      <c r="A701" s="102"/>
      <c r="B701" s="78"/>
      <c r="C701" s="78"/>
      <c r="D701" s="78"/>
      <c r="E701" s="78"/>
      <c r="F701" s="78"/>
      <c r="H701" s="78"/>
      <c r="I701" s="78"/>
      <c r="J701" s="78"/>
      <c r="K701" s="78"/>
      <c r="L701" s="78"/>
      <c r="M701" s="78"/>
      <c r="N701" s="78"/>
      <c r="O701" s="78"/>
      <c r="P701" s="78"/>
      <c r="Q701" s="78"/>
      <c r="R701" s="78"/>
      <c r="S701" s="78"/>
      <c r="T701" s="78"/>
      <c r="U701" s="78"/>
      <c r="V701" s="78"/>
      <c r="W701" s="78"/>
      <c r="X701" s="78"/>
      <c r="Y701" s="78"/>
      <c r="Z701" s="78"/>
      <c r="AA701" s="78"/>
      <c r="AB701" s="78"/>
    </row>
    <row r="702" spans="1:28" s="79" customFormat="1" ht="12.6" customHeight="1" x14ac:dyDescent="0.3">
      <c r="A702" s="102"/>
      <c r="B702" s="78"/>
      <c r="C702" s="78"/>
      <c r="D702" s="78"/>
      <c r="E702" s="78"/>
      <c r="F702" s="78"/>
      <c r="H702" s="78"/>
      <c r="I702" s="78"/>
      <c r="J702" s="78"/>
      <c r="K702" s="78"/>
      <c r="L702" s="78"/>
      <c r="M702" s="78"/>
      <c r="N702" s="78"/>
      <c r="O702" s="78"/>
      <c r="P702" s="78"/>
      <c r="Q702" s="78"/>
      <c r="R702" s="78"/>
      <c r="S702" s="78"/>
      <c r="T702" s="78"/>
      <c r="U702" s="78"/>
      <c r="V702" s="78"/>
      <c r="W702" s="78"/>
      <c r="X702" s="78"/>
      <c r="Y702" s="78"/>
      <c r="Z702" s="78"/>
      <c r="AA702" s="78"/>
      <c r="AB702" s="78"/>
    </row>
    <row r="703" spans="1:28" s="79" customFormat="1" ht="12.6" customHeight="1" x14ac:dyDescent="0.3">
      <c r="A703" s="102"/>
      <c r="B703" s="78"/>
      <c r="C703" s="78"/>
      <c r="D703" s="78"/>
      <c r="E703" s="78"/>
      <c r="F703" s="78"/>
      <c r="H703" s="78"/>
      <c r="I703" s="78"/>
      <c r="J703" s="78"/>
      <c r="K703" s="78"/>
      <c r="L703" s="78"/>
      <c r="M703" s="78"/>
      <c r="N703" s="78"/>
      <c r="O703" s="78"/>
      <c r="P703" s="78"/>
      <c r="Q703" s="78"/>
      <c r="R703" s="78"/>
      <c r="S703" s="78"/>
      <c r="T703" s="78"/>
      <c r="U703" s="78"/>
      <c r="V703" s="78"/>
      <c r="W703" s="78"/>
      <c r="X703" s="78"/>
      <c r="Y703" s="78"/>
      <c r="Z703" s="78"/>
      <c r="AA703" s="78"/>
      <c r="AB703" s="78"/>
    </row>
    <row r="704" spans="1:28" s="79" customFormat="1" ht="12.6" customHeight="1" x14ac:dyDescent="0.3">
      <c r="A704" s="102"/>
      <c r="B704" s="78"/>
      <c r="C704" s="78"/>
      <c r="D704" s="78"/>
      <c r="E704" s="78"/>
      <c r="F704" s="78"/>
      <c r="H704" s="78"/>
      <c r="I704" s="78"/>
      <c r="J704" s="78"/>
      <c r="K704" s="78"/>
      <c r="L704" s="78"/>
      <c r="M704" s="78"/>
      <c r="N704" s="78"/>
      <c r="O704" s="78"/>
      <c r="P704" s="78"/>
      <c r="Q704" s="78"/>
      <c r="R704" s="78"/>
      <c r="S704" s="78"/>
      <c r="T704" s="78"/>
      <c r="U704" s="78"/>
      <c r="V704" s="78"/>
      <c r="W704" s="78"/>
      <c r="X704" s="78"/>
      <c r="Y704" s="78"/>
      <c r="Z704" s="78"/>
      <c r="AA704" s="78"/>
      <c r="AB704" s="78"/>
    </row>
    <row r="705" spans="1:28" s="79" customFormat="1" ht="12.6" customHeight="1" x14ac:dyDescent="0.3">
      <c r="A705" s="102"/>
      <c r="B705" s="78"/>
      <c r="C705" s="78"/>
      <c r="D705" s="78"/>
      <c r="E705" s="78"/>
      <c r="F705" s="78"/>
      <c r="H705" s="78"/>
      <c r="I705" s="78"/>
      <c r="J705" s="78"/>
      <c r="K705" s="78"/>
      <c r="L705" s="78"/>
      <c r="M705" s="78"/>
      <c r="N705" s="78"/>
      <c r="O705" s="78"/>
      <c r="P705" s="78"/>
      <c r="Q705" s="78"/>
      <c r="R705" s="78"/>
      <c r="S705" s="78"/>
      <c r="T705" s="78"/>
      <c r="U705" s="78"/>
      <c r="V705" s="78"/>
      <c r="W705" s="78"/>
      <c r="X705" s="78"/>
      <c r="Y705" s="78"/>
      <c r="Z705" s="78"/>
      <c r="AA705" s="78"/>
      <c r="AB705" s="78"/>
    </row>
    <row r="706" spans="1:28" s="79" customFormat="1" ht="12.6" customHeight="1" x14ac:dyDescent="0.3">
      <c r="A706" s="102"/>
      <c r="B706" s="78"/>
      <c r="C706" s="78"/>
      <c r="D706" s="78"/>
      <c r="E706" s="78"/>
      <c r="F706" s="78"/>
      <c r="H706" s="78"/>
      <c r="I706" s="78"/>
      <c r="J706" s="78"/>
      <c r="K706" s="78"/>
      <c r="L706" s="78"/>
      <c r="M706" s="78"/>
      <c r="N706" s="78"/>
      <c r="O706" s="78"/>
      <c r="P706" s="78"/>
      <c r="Q706" s="78"/>
      <c r="R706" s="78"/>
      <c r="S706" s="78"/>
      <c r="T706" s="78"/>
      <c r="U706" s="78"/>
      <c r="V706" s="78"/>
      <c r="W706" s="78"/>
      <c r="X706" s="78"/>
      <c r="Y706" s="78"/>
      <c r="Z706" s="78"/>
      <c r="AA706" s="78"/>
      <c r="AB706" s="78"/>
    </row>
    <row r="707" spans="1:28" s="79" customFormat="1" ht="12.6" customHeight="1" x14ac:dyDescent="0.3">
      <c r="A707" s="102"/>
      <c r="B707" s="78"/>
      <c r="C707" s="78"/>
      <c r="D707" s="78"/>
      <c r="E707" s="78"/>
      <c r="F707" s="78"/>
      <c r="H707" s="78"/>
      <c r="I707" s="78"/>
      <c r="J707" s="78"/>
      <c r="K707" s="78"/>
      <c r="L707" s="78"/>
      <c r="M707" s="78"/>
      <c r="N707" s="78"/>
      <c r="O707" s="78"/>
      <c r="P707" s="78"/>
      <c r="Q707" s="78"/>
      <c r="R707" s="78"/>
      <c r="S707" s="78"/>
      <c r="T707" s="78"/>
      <c r="U707" s="78"/>
      <c r="V707" s="78"/>
      <c r="W707" s="78"/>
      <c r="X707" s="78"/>
      <c r="Y707" s="78"/>
      <c r="Z707" s="78"/>
      <c r="AA707" s="78"/>
      <c r="AB707" s="78"/>
    </row>
    <row r="708" spans="1:28" s="79" customFormat="1" ht="12.6" customHeight="1" x14ac:dyDescent="0.3">
      <c r="A708" s="102"/>
      <c r="B708" s="78"/>
      <c r="C708" s="78"/>
      <c r="D708" s="78"/>
      <c r="E708" s="78"/>
      <c r="F708" s="78"/>
      <c r="H708" s="78"/>
      <c r="I708" s="78"/>
      <c r="J708" s="78"/>
      <c r="K708" s="78"/>
      <c r="L708" s="78"/>
      <c r="M708" s="78"/>
      <c r="N708" s="78"/>
      <c r="O708" s="78"/>
      <c r="P708" s="78"/>
      <c r="Q708" s="78"/>
      <c r="R708" s="78"/>
      <c r="S708" s="78"/>
      <c r="T708" s="78"/>
      <c r="U708" s="78"/>
      <c r="V708" s="78"/>
      <c r="W708" s="78"/>
      <c r="X708" s="78"/>
      <c r="Y708" s="78"/>
      <c r="Z708" s="78"/>
      <c r="AA708" s="78"/>
      <c r="AB708" s="78"/>
    </row>
    <row r="709" spans="1:28" s="79" customFormat="1" ht="12.6" customHeight="1" x14ac:dyDescent="0.3">
      <c r="A709" s="102"/>
      <c r="B709" s="78"/>
      <c r="C709" s="78"/>
      <c r="D709" s="78"/>
      <c r="E709" s="78"/>
      <c r="F709" s="78"/>
      <c r="H709" s="78"/>
      <c r="I709" s="78"/>
      <c r="J709" s="78"/>
      <c r="K709" s="78"/>
      <c r="L709" s="78"/>
      <c r="M709" s="78"/>
      <c r="N709" s="78"/>
      <c r="O709" s="78"/>
      <c r="P709" s="78"/>
      <c r="Q709" s="78"/>
      <c r="R709" s="78"/>
      <c r="S709" s="78"/>
      <c r="T709" s="78"/>
      <c r="U709" s="78"/>
      <c r="V709" s="78"/>
      <c r="W709" s="78"/>
      <c r="X709" s="78"/>
      <c r="Y709" s="78"/>
      <c r="Z709" s="78"/>
      <c r="AA709" s="78"/>
      <c r="AB709" s="78"/>
    </row>
    <row r="710" spans="1:28" s="79" customFormat="1" ht="12.6" customHeight="1" x14ac:dyDescent="0.3">
      <c r="A710" s="102"/>
      <c r="B710" s="78"/>
      <c r="C710" s="78"/>
      <c r="D710" s="78"/>
      <c r="E710" s="78"/>
      <c r="F710" s="78"/>
      <c r="H710" s="78"/>
      <c r="I710" s="78"/>
      <c r="J710" s="78"/>
      <c r="K710" s="78"/>
      <c r="L710" s="78"/>
      <c r="M710" s="78"/>
      <c r="N710" s="78"/>
      <c r="O710" s="78"/>
      <c r="P710" s="78"/>
      <c r="Q710" s="78"/>
      <c r="R710" s="78"/>
      <c r="S710" s="78"/>
      <c r="T710" s="78"/>
      <c r="U710" s="78"/>
      <c r="V710" s="78"/>
      <c r="W710" s="78"/>
      <c r="X710" s="78"/>
      <c r="Y710" s="78"/>
      <c r="Z710" s="78"/>
      <c r="AA710" s="78"/>
      <c r="AB710" s="78"/>
    </row>
    <row r="711" spans="1:28" s="79" customFormat="1" ht="12.6" customHeight="1" x14ac:dyDescent="0.3">
      <c r="A711" s="102"/>
      <c r="B711" s="78"/>
      <c r="C711" s="78"/>
      <c r="D711" s="78"/>
      <c r="E711" s="78"/>
      <c r="F711" s="78"/>
      <c r="H711" s="78"/>
      <c r="I711" s="78"/>
      <c r="J711" s="78"/>
      <c r="K711" s="78"/>
      <c r="L711" s="78"/>
      <c r="M711" s="78"/>
      <c r="N711" s="78"/>
      <c r="O711" s="78"/>
      <c r="P711" s="78"/>
      <c r="Q711" s="78"/>
      <c r="R711" s="78"/>
      <c r="S711" s="78"/>
      <c r="T711" s="78"/>
      <c r="U711" s="78"/>
      <c r="V711" s="78"/>
      <c r="W711" s="78"/>
      <c r="X711" s="78"/>
      <c r="Y711" s="78"/>
      <c r="Z711" s="78"/>
      <c r="AA711" s="78"/>
      <c r="AB711" s="78"/>
    </row>
    <row r="712" spans="1:28" s="79" customFormat="1" ht="12.6" customHeight="1" x14ac:dyDescent="0.3">
      <c r="A712" s="102"/>
      <c r="B712" s="78"/>
      <c r="C712" s="78"/>
      <c r="D712" s="78"/>
      <c r="E712" s="78"/>
      <c r="F712" s="78"/>
      <c r="H712" s="78"/>
      <c r="I712" s="78"/>
      <c r="J712" s="78"/>
      <c r="K712" s="78"/>
      <c r="L712" s="78"/>
      <c r="M712" s="78"/>
      <c r="N712" s="78"/>
      <c r="O712" s="78"/>
      <c r="P712" s="78"/>
      <c r="Q712" s="78"/>
      <c r="R712" s="78"/>
      <c r="S712" s="78"/>
      <c r="T712" s="78"/>
      <c r="U712" s="78"/>
      <c r="V712" s="78"/>
      <c r="W712" s="78"/>
      <c r="X712" s="78"/>
      <c r="Y712" s="78"/>
      <c r="Z712" s="78"/>
      <c r="AA712" s="78"/>
      <c r="AB712" s="78"/>
    </row>
    <row r="713" spans="1:28" s="79" customFormat="1" ht="12.6" customHeight="1" x14ac:dyDescent="0.3">
      <c r="A713" s="102"/>
      <c r="B713" s="78"/>
      <c r="C713" s="78"/>
      <c r="D713" s="78"/>
      <c r="E713" s="78"/>
      <c r="F713" s="78"/>
      <c r="H713" s="78"/>
      <c r="I713" s="78"/>
      <c r="J713" s="78"/>
      <c r="K713" s="78"/>
      <c r="L713" s="78"/>
      <c r="M713" s="78"/>
      <c r="N713" s="78"/>
      <c r="O713" s="78"/>
      <c r="P713" s="78"/>
      <c r="Q713" s="78"/>
      <c r="R713" s="78"/>
      <c r="S713" s="78"/>
      <c r="T713" s="78"/>
      <c r="U713" s="78"/>
      <c r="V713" s="78"/>
      <c r="W713" s="78"/>
      <c r="X713" s="78"/>
      <c r="Y713" s="78"/>
      <c r="Z713" s="78"/>
      <c r="AA713" s="78"/>
      <c r="AB713" s="78"/>
    </row>
    <row r="714" spans="1:28" s="79" customFormat="1" ht="12.6" customHeight="1" x14ac:dyDescent="0.3">
      <c r="A714" s="102"/>
      <c r="B714" s="78"/>
      <c r="C714" s="78"/>
      <c r="D714" s="78"/>
      <c r="E714" s="78"/>
      <c r="F714" s="78"/>
      <c r="H714" s="78"/>
      <c r="I714" s="78"/>
      <c r="J714" s="78"/>
      <c r="K714" s="78"/>
      <c r="L714" s="78"/>
      <c r="M714" s="78"/>
      <c r="N714" s="78"/>
      <c r="O714" s="78"/>
      <c r="P714" s="78"/>
      <c r="Q714" s="78"/>
      <c r="R714" s="78"/>
      <c r="S714" s="78"/>
      <c r="T714" s="78"/>
      <c r="U714" s="78"/>
      <c r="V714" s="78"/>
      <c r="W714" s="78"/>
      <c r="X714" s="78"/>
      <c r="Y714" s="78"/>
      <c r="Z714" s="78"/>
      <c r="AA714" s="78"/>
      <c r="AB714" s="78"/>
    </row>
    <row r="715" spans="1:28" s="79" customFormat="1" ht="12.6" customHeight="1" x14ac:dyDescent="0.3">
      <c r="A715" s="102"/>
      <c r="B715" s="78"/>
      <c r="C715" s="78"/>
      <c r="D715" s="78"/>
      <c r="E715" s="78"/>
      <c r="F715" s="78"/>
      <c r="H715" s="78"/>
      <c r="I715" s="78"/>
      <c r="J715" s="78"/>
      <c r="K715" s="78"/>
      <c r="L715" s="78"/>
      <c r="M715" s="78"/>
      <c r="N715" s="78"/>
      <c r="O715" s="78"/>
      <c r="P715" s="78"/>
      <c r="Q715" s="78"/>
      <c r="R715" s="78"/>
      <c r="S715" s="78"/>
      <c r="T715" s="78"/>
      <c r="U715" s="78"/>
      <c r="V715" s="78"/>
      <c r="W715" s="78"/>
      <c r="X715" s="78"/>
      <c r="Y715" s="78"/>
      <c r="Z715" s="78"/>
      <c r="AA715" s="78"/>
      <c r="AB715" s="78"/>
    </row>
    <row r="716" spans="1:28" s="79" customFormat="1" ht="12.6" customHeight="1" x14ac:dyDescent="0.3">
      <c r="A716" s="102"/>
      <c r="B716" s="78"/>
      <c r="C716" s="78"/>
      <c r="D716" s="78"/>
      <c r="E716" s="78"/>
      <c r="F716" s="78"/>
      <c r="H716" s="78"/>
      <c r="I716" s="78"/>
      <c r="J716" s="78"/>
      <c r="K716" s="78"/>
      <c r="L716" s="78"/>
      <c r="M716" s="78"/>
      <c r="N716" s="78"/>
      <c r="O716" s="78"/>
      <c r="P716" s="78"/>
      <c r="Q716" s="78"/>
      <c r="R716" s="78"/>
      <c r="S716" s="78"/>
      <c r="T716" s="78"/>
      <c r="U716" s="78"/>
      <c r="V716" s="78"/>
      <c r="W716" s="78"/>
      <c r="X716" s="78"/>
      <c r="Y716" s="78"/>
      <c r="Z716" s="78"/>
      <c r="AA716" s="78"/>
      <c r="AB716" s="78"/>
    </row>
    <row r="717" spans="1:28" s="79" customFormat="1" ht="12.6" customHeight="1" x14ac:dyDescent="0.3">
      <c r="A717" s="102"/>
      <c r="B717" s="78"/>
      <c r="C717" s="78"/>
      <c r="D717" s="78"/>
      <c r="E717" s="78"/>
      <c r="F717" s="78"/>
      <c r="H717" s="78"/>
      <c r="I717" s="78"/>
      <c r="J717" s="78"/>
      <c r="K717" s="78"/>
      <c r="L717" s="78"/>
      <c r="M717" s="78"/>
      <c r="N717" s="78"/>
      <c r="O717" s="78"/>
      <c r="P717" s="78"/>
      <c r="Q717" s="78"/>
      <c r="R717" s="78"/>
      <c r="S717" s="78"/>
      <c r="T717" s="78"/>
      <c r="U717" s="78"/>
      <c r="V717" s="78"/>
      <c r="W717" s="78"/>
      <c r="X717" s="78"/>
      <c r="Y717" s="78"/>
      <c r="Z717" s="78"/>
      <c r="AA717" s="78"/>
      <c r="AB717" s="78"/>
    </row>
    <row r="718" spans="1:28" s="79" customFormat="1" ht="12.6" customHeight="1" x14ac:dyDescent="0.3">
      <c r="A718" s="102"/>
      <c r="B718" s="78"/>
      <c r="C718" s="78"/>
      <c r="D718" s="78"/>
      <c r="E718" s="78"/>
      <c r="F718" s="78"/>
      <c r="H718" s="78"/>
      <c r="I718" s="78"/>
      <c r="J718" s="78"/>
      <c r="K718" s="78"/>
      <c r="L718" s="78"/>
      <c r="M718" s="78"/>
      <c r="N718" s="78"/>
      <c r="O718" s="78"/>
      <c r="P718" s="78"/>
      <c r="Q718" s="78"/>
      <c r="R718" s="78"/>
      <c r="S718" s="78"/>
      <c r="T718" s="78"/>
      <c r="U718" s="78"/>
      <c r="V718" s="78"/>
      <c r="W718" s="78"/>
      <c r="X718" s="78"/>
      <c r="Y718" s="78"/>
      <c r="Z718" s="78"/>
      <c r="AA718" s="78"/>
      <c r="AB718" s="78"/>
    </row>
    <row r="719" spans="1:28" s="79" customFormat="1" ht="12.6" customHeight="1" x14ac:dyDescent="0.3">
      <c r="A719" s="102"/>
      <c r="B719" s="78"/>
      <c r="C719" s="78"/>
      <c r="D719" s="78"/>
      <c r="E719" s="78"/>
      <c r="F719" s="78"/>
      <c r="H719" s="78"/>
      <c r="I719" s="78"/>
      <c r="J719" s="78"/>
      <c r="K719" s="78"/>
      <c r="L719" s="78"/>
      <c r="M719" s="78"/>
      <c r="N719" s="78"/>
      <c r="O719" s="78"/>
      <c r="P719" s="78"/>
      <c r="Q719" s="78"/>
      <c r="R719" s="78"/>
      <c r="S719" s="78"/>
      <c r="T719" s="78"/>
      <c r="U719" s="78"/>
      <c r="V719" s="78"/>
      <c r="W719" s="78"/>
      <c r="X719" s="78"/>
      <c r="Y719" s="78"/>
      <c r="Z719" s="78"/>
      <c r="AA719" s="78"/>
      <c r="AB719" s="78"/>
    </row>
    <row r="720" spans="1:28" s="79" customFormat="1" ht="12.6" customHeight="1" x14ac:dyDescent="0.3">
      <c r="A720" s="102"/>
      <c r="B720" s="78"/>
      <c r="C720" s="78"/>
      <c r="D720" s="78"/>
      <c r="E720" s="78"/>
      <c r="F720" s="78"/>
      <c r="H720" s="78"/>
      <c r="I720" s="78"/>
      <c r="J720" s="78"/>
      <c r="K720" s="78"/>
      <c r="L720" s="78"/>
      <c r="M720" s="78"/>
      <c r="N720" s="78"/>
      <c r="O720" s="78"/>
      <c r="P720" s="78"/>
      <c r="Q720" s="78"/>
      <c r="R720" s="78"/>
      <c r="S720" s="78"/>
      <c r="T720" s="78"/>
      <c r="U720" s="78"/>
      <c r="V720" s="78"/>
      <c r="W720" s="78"/>
      <c r="X720" s="78"/>
      <c r="Y720" s="78"/>
      <c r="Z720" s="78"/>
      <c r="AA720" s="78"/>
      <c r="AB720" s="78"/>
    </row>
    <row r="721" spans="1:28" s="79" customFormat="1" ht="12.6" customHeight="1" x14ac:dyDescent="0.3">
      <c r="A721" s="102"/>
      <c r="B721" s="78"/>
      <c r="C721" s="78"/>
      <c r="D721" s="78"/>
      <c r="E721" s="78"/>
      <c r="F721" s="78"/>
      <c r="H721" s="78"/>
      <c r="I721" s="78"/>
      <c r="J721" s="78"/>
      <c r="K721" s="78"/>
      <c r="L721" s="78"/>
      <c r="M721" s="78"/>
      <c r="N721" s="78"/>
      <c r="O721" s="78"/>
      <c r="P721" s="78"/>
      <c r="Q721" s="78"/>
      <c r="R721" s="78"/>
      <c r="S721" s="78"/>
      <c r="T721" s="78"/>
      <c r="U721" s="78"/>
      <c r="V721" s="78"/>
      <c r="W721" s="78"/>
      <c r="X721" s="78"/>
      <c r="Y721" s="78"/>
      <c r="Z721" s="78"/>
      <c r="AA721" s="78"/>
      <c r="AB721" s="78"/>
    </row>
    <row r="722" spans="1:28" s="79" customFormat="1" ht="12.6" customHeight="1" x14ac:dyDescent="0.3">
      <c r="A722" s="102"/>
      <c r="B722" s="78"/>
      <c r="C722" s="78"/>
      <c r="D722" s="78"/>
      <c r="E722" s="78"/>
      <c r="F722" s="78"/>
      <c r="H722" s="78"/>
      <c r="I722" s="78"/>
      <c r="J722" s="78"/>
      <c r="K722" s="78"/>
      <c r="L722" s="78"/>
      <c r="M722" s="78"/>
      <c r="N722" s="78"/>
      <c r="O722" s="78"/>
      <c r="P722" s="78"/>
      <c r="Q722" s="78"/>
      <c r="R722" s="78"/>
      <c r="S722" s="78"/>
      <c r="T722" s="78"/>
      <c r="U722" s="78"/>
      <c r="V722" s="78"/>
      <c r="W722" s="78"/>
      <c r="X722" s="78"/>
      <c r="Y722" s="78"/>
      <c r="Z722" s="78"/>
      <c r="AA722" s="78"/>
      <c r="AB722" s="78"/>
    </row>
    <row r="723" spans="1:28" s="79" customFormat="1" ht="12.6" customHeight="1" x14ac:dyDescent="0.3">
      <c r="A723" s="102"/>
      <c r="B723" s="78"/>
      <c r="C723" s="78"/>
      <c r="D723" s="78"/>
      <c r="E723" s="78"/>
      <c r="F723" s="78"/>
      <c r="H723" s="78"/>
      <c r="I723" s="78"/>
      <c r="J723" s="78"/>
      <c r="K723" s="78"/>
      <c r="L723" s="78"/>
      <c r="M723" s="78"/>
      <c r="N723" s="78"/>
      <c r="O723" s="78"/>
      <c r="P723" s="78"/>
      <c r="Q723" s="78"/>
      <c r="R723" s="78"/>
      <c r="S723" s="78"/>
      <c r="T723" s="78"/>
      <c r="U723" s="78"/>
      <c r="V723" s="78"/>
      <c r="W723" s="78"/>
      <c r="X723" s="78"/>
      <c r="Y723" s="78"/>
      <c r="Z723" s="78"/>
      <c r="AA723" s="78"/>
      <c r="AB723" s="78"/>
    </row>
    <row r="724" spans="1:28" s="79" customFormat="1" ht="12.6" customHeight="1" x14ac:dyDescent="0.3">
      <c r="A724" s="102"/>
      <c r="B724" s="78"/>
      <c r="C724" s="78"/>
      <c r="D724" s="78"/>
      <c r="E724" s="78"/>
      <c r="F724" s="78"/>
      <c r="H724" s="78"/>
      <c r="I724" s="78"/>
      <c r="J724" s="78"/>
      <c r="K724" s="78"/>
      <c r="L724" s="78"/>
      <c r="M724" s="78"/>
      <c r="N724" s="78"/>
      <c r="O724" s="78"/>
      <c r="P724" s="78"/>
      <c r="Q724" s="78"/>
      <c r="R724" s="78"/>
      <c r="S724" s="78"/>
      <c r="T724" s="78"/>
      <c r="U724" s="78"/>
      <c r="V724" s="78"/>
      <c r="W724" s="78"/>
      <c r="X724" s="78"/>
      <c r="Y724" s="78"/>
      <c r="Z724" s="78"/>
      <c r="AA724" s="78"/>
      <c r="AB724" s="78"/>
    </row>
    <row r="725" spans="1:28" s="79" customFormat="1" ht="12.6" customHeight="1" x14ac:dyDescent="0.3">
      <c r="A725" s="102"/>
      <c r="B725" s="78"/>
      <c r="C725" s="78"/>
      <c r="D725" s="78"/>
      <c r="E725" s="78"/>
      <c r="F725" s="78"/>
      <c r="H725" s="78"/>
      <c r="I725" s="78"/>
      <c r="J725" s="78"/>
      <c r="K725" s="78"/>
      <c r="L725" s="78"/>
      <c r="M725" s="78"/>
      <c r="N725" s="78"/>
      <c r="O725" s="78"/>
      <c r="P725" s="78"/>
      <c r="Q725" s="78"/>
      <c r="R725" s="78"/>
      <c r="S725" s="78"/>
      <c r="T725" s="78"/>
      <c r="U725" s="78"/>
      <c r="V725" s="78"/>
      <c r="W725" s="78"/>
      <c r="X725" s="78"/>
      <c r="Y725" s="78"/>
      <c r="Z725" s="78"/>
      <c r="AA725" s="78"/>
      <c r="AB725" s="78"/>
    </row>
    <row r="726" spans="1:28" s="79" customFormat="1" ht="12.6" customHeight="1" x14ac:dyDescent="0.3">
      <c r="A726" s="102"/>
      <c r="B726" s="78"/>
      <c r="C726" s="78"/>
      <c r="D726" s="78"/>
      <c r="E726" s="78"/>
      <c r="F726" s="78"/>
      <c r="H726" s="78"/>
      <c r="I726" s="78"/>
      <c r="J726" s="78"/>
      <c r="K726" s="78"/>
      <c r="L726" s="78"/>
      <c r="M726" s="78"/>
      <c r="N726" s="78"/>
      <c r="O726" s="78"/>
      <c r="P726" s="78"/>
      <c r="Q726" s="78"/>
      <c r="R726" s="78"/>
      <c r="S726" s="78"/>
      <c r="T726" s="78"/>
      <c r="U726" s="78"/>
      <c r="V726" s="78"/>
      <c r="W726" s="78"/>
      <c r="X726" s="78"/>
      <c r="Y726" s="78"/>
      <c r="Z726" s="78"/>
      <c r="AA726" s="78"/>
      <c r="AB726" s="78"/>
    </row>
    <row r="727" spans="1:28" s="79" customFormat="1" ht="12.6" customHeight="1" x14ac:dyDescent="0.3">
      <c r="A727" s="102"/>
      <c r="B727" s="78"/>
      <c r="C727" s="78"/>
      <c r="D727" s="78"/>
      <c r="E727" s="78"/>
      <c r="F727" s="78"/>
      <c r="H727" s="78"/>
      <c r="I727" s="78"/>
      <c r="J727" s="78"/>
      <c r="K727" s="78"/>
      <c r="L727" s="78"/>
      <c r="M727" s="78"/>
      <c r="N727" s="78"/>
      <c r="O727" s="78"/>
      <c r="P727" s="78"/>
      <c r="Q727" s="78"/>
      <c r="R727" s="78"/>
      <c r="S727" s="78"/>
      <c r="T727" s="78"/>
      <c r="U727" s="78"/>
      <c r="V727" s="78"/>
      <c r="W727" s="78"/>
      <c r="X727" s="78"/>
      <c r="Y727" s="78"/>
      <c r="Z727" s="78"/>
      <c r="AA727" s="78"/>
      <c r="AB727" s="78"/>
    </row>
    <row r="728" spans="1:28" s="79" customFormat="1" ht="12.6" customHeight="1" x14ac:dyDescent="0.3">
      <c r="A728" s="102"/>
      <c r="B728" s="78"/>
      <c r="C728" s="78"/>
      <c r="D728" s="78"/>
      <c r="E728" s="78"/>
      <c r="F728" s="78"/>
      <c r="H728" s="78"/>
      <c r="I728" s="78"/>
      <c r="J728" s="78"/>
      <c r="K728" s="78"/>
      <c r="L728" s="78"/>
      <c r="M728" s="78"/>
      <c r="N728" s="78"/>
      <c r="O728" s="78"/>
      <c r="P728" s="78"/>
      <c r="Q728" s="78"/>
      <c r="R728" s="78"/>
      <c r="S728" s="78"/>
      <c r="T728" s="78"/>
      <c r="U728" s="78"/>
      <c r="V728" s="78"/>
      <c r="W728" s="78"/>
      <c r="X728" s="78"/>
      <c r="Y728" s="78"/>
      <c r="Z728" s="78"/>
      <c r="AA728" s="78"/>
      <c r="AB728" s="78"/>
    </row>
    <row r="729" spans="1:28" s="79" customFormat="1" ht="12.6" customHeight="1" x14ac:dyDescent="0.3">
      <c r="A729" s="102"/>
      <c r="B729" s="78"/>
      <c r="C729" s="78"/>
      <c r="D729" s="78"/>
      <c r="E729" s="78"/>
      <c r="F729" s="78"/>
      <c r="H729" s="78"/>
      <c r="I729" s="78"/>
      <c r="J729" s="78"/>
      <c r="K729" s="78"/>
      <c r="L729" s="78"/>
      <c r="M729" s="78"/>
      <c r="N729" s="78"/>
      <c r="O729" s="78"/>
      <c r="P729" s="78"/>
      <c r="Q729" s="78"/>
      <c r="R729" s="78"/>
      <c r="S729" s="78"/>
      <c r="T729" s="78"/>
      <c r="U729" s="78"/>
      <c r="V729" s="78"/>
      <c r="W729" s="78"/>
      <c r="X729" s="78"/>
      <c r="Y729" s="78"/>
      <c r="Z729" s="78"/>
      <c r="AA729" s="78"/>
      <c r="AB729" s="78"/>
    </row>
    <row r="730" spans="1:28" s="79" customFormat="1" ht="12.6" customHeight="1" x14ac:dyDescent="0.3">
      <c r="A730" s="102"/>
      <c r="B730" s="78"/>
      <c r="C730" s="78"/>
      <c r="D730" s="78"/>
      <c r="E730" s="78"/>
      <c r="F730" s="78"/>
      <c r="H730" s="78"/>
      <c r="I730" s="78"/>
      <c r="J730" s="78"/>
      <c r="K730" s="78"/>
      <c r="L730" s="78"/>
      <c r="M730" s="78"/>
      <c r="N730" s="78"/>
      <c r="O730" s="78"/>
      <c r="P730" s="78"/>
      <c r="Q730" s="78"/>
      <c r="R730" s="78"/>
      <c r="S730" s="78"/>
      <c r="T730" s="78"/>
      <c r="U730" s="78"/>
      <c r="V730" s="78"/>
      <c r="W730" s="78"/>
      <c r="X730" s="78"/>
      <c r="Y730" s="78"/>
      <c r="Z730" s="78"/>
      <c r="AA730" s="78"/>
      <c r="AB730" s="78"/>
    </row>
    <row r="731" spans="1:28" s="79" customFormat="1" ht="12.6" customHeight="1" x14ac:dyDescent="0.3">
      <c r="A731" s="102"/>
      <c r="B731" s="78"/>
      <c r="C731" s="78"/>
      <c r="D731" s="78"/>
      <c r="E731" s="78"/>
      <c r="F731" s="78"/>
      <c r="H731" s="78"/>
      <c r="I731" s="78"/>
      <c r="J731" s="78"/>
      <c r="K731" s="78"/>
      <c r="L731" s="78"/>
      <c r="M731" s="78"/>
      <c r="N731" s="78"/>
      <c r="O731" s="78"/>
      <c r="P731" s="78"/>
      <c r="Q731" s="78"/>
      <c r="R731" s="78"/>
      <c r="S731" s="78"/>
      <c r="T731" s="78"/>
      <c r="U731" s="78"/>
      <c r="V731" s="78"/>
      <c r="W731" s="78"/>
      <c r="X731" s="78"/>
      <c r="Y731" s="78"/>
      <c r="Z731" s="78"/>
      <c r="AA731" s="78"/>
      <c r="AB731" s="78"/>
    </row>
    <row r="732" spans="1:28" s="79" customFormat="1" ht="12.6" customHeight="1" x14ac:dyDescent="0.3">
      <c r="A732" s="102"/>
      <c r="B732" s="78"/>
      <c r="C732" s="78"/>
      <c r="D732" s="78"/>
      <c r="E732" s="78"/>
      <c r="F732" s="78"/>
      <c r="H732" s="78"/>
      <c r="I732" s="78"/>
      <c r="J732" s="78"/>
      <c r="K732" s="78"/>
      <c r="L732" s="78"/>
      <c r="M732" s="78"/>
      <c r="N732" s="78"/>
      <c r="O732" s="78"/>
      <c r="P732" s="78"/>
      <c r="Q732" s="78"/>
      <c r="R732" s="78"/>
      <c r="S732" s="78"/>
      <c r="T732" s="78"/>
      <c r="U732" s="78"/>
      <c r="V732" s="78"/>
      <c r="W732" s="78"/>
      <c r="X732" s="78"/>
      <c r="Y732" s="78"/>
      <c r="Z732" s="78"/>
      <c r="AA732" s="78"/>
      <c r="AB732" s="78"/>
    </row>
    <row r="733" spans="1:28" s="79" customFormat="1" ht="12.6" customHeight="1" x14ac:dyDescent="0.3">
      <c r="A733" s="102"/>
      <c r="B733" s="78"/>
      <c r="C733" s="78"/>
      <c r="D733" s="78"/>
      <c r="E733" s="78"/>
      <c r="F733" s="78"/>
      <c r="H733" s="78"/>
      <c r="I733" s="78"/>
      <c r="J733" s="78"/>
      <c r="K733" s="78"/>
      <c r="L733" s="78"/>
      <c r="M733" s="78"/>
      <c r="N733" s="78"/>
      <c r="O733" s="78"/>
      <c r="P733" s="78"/>
      <c r="Q733" s="78"/>
      <c r="R733" s="78"/>
      <c r="S733" s="78"/>
      <c r="T733" s="78"/>
      <c r="U733" s="78"/>
      <c r="V733" s="78"/>
      <c r="W733" s="78"/>
      <c r="X733" s="78"/>
      <c r="Y733" s="78"/>
      <c r="Z733" s="78"/>
      <c r="AA733" s="78"/>
      <c r="AB733" s="78"/>
    </row>
    <row r="734" spans="1:28" s="79" customFormat="1" ht="12.6" customHeight="1" x14ac:dyDescent="0.3">
      <c r="A734" s="102"/>
      <c r="B734" s="78"/>
      <c r="C734" s="78"/>
      <c r="D734" s="78"/>
      <c r="E734" s="78"/>
      <c r="F734" s="78"/>
      <c r="H734" s="78"/>
      <c r="I734" s="78"/>
      <c r="J734" s="78"/>
      <c r="K734" s="78"/>
      <c r="L734" s="78"/>
      <c r="M734" s="78"/>
      <c r="N734" s="78"/>
      <c r="O734" s="78"/>
      <c r="P734" s="78"/>
      <c r="Q734" s="78"/>
      <c r="R734" s="78"/>
      <c r="S734" s="78"/>
      <c r="T734" s="78"/>
      <c r="U734" s="78"/>
      <c r="V734" s="78"/>
      <c r="W734" s="78"/>
      <c r="X734" s="78"/>
      <c r="Y734" s="78"/>
      <c r="Z734" s="78"/>
      <c r="AA734" s="78"/>
      <c r="AB734" s="78"/>
    </row>
    <row r="735" spans="1:28" s="79" customFormat="1" ht="12.6" customHeight="1" x14ac:dyDescent="0.3">
      <c r="A735" s="102"/>
      <c r="B735" s="78"/>
      <c r="C735" s="78"/>
      <c r="D735" s="78"/>
      <c r="E735" s="78"/>
      <c r="F735" s="78"/>
      <c r="H735" s="78"/>
      <c r="I735" s="78"/>
      <c r="J735" s="78"/>
      <c r="K735" s="78"/>
      <c r="L735" s="78"/>
      <c r="M735" s="78"/>
      <c r="N735" s="78"/>
      <c r="O735" s="78"/>
      <c r="P735" s="78"/>
      <c r="Q735" s="78"/>
      <c r="R735" s="78"/>
      <c r="S735" s="78"/>
      <c r="T735" s="78"/>
      <c r="U735" s="78"/>
      <c r="V735" s="78"/>
      <c r="W735" s="78"/>
      <c r="X735" s="78"/>
      <c r="Y735" s="78"/>
      <c r="Z735" s="78"/>
      <c r="AA735" s="78"/>
      <c r="AB735" s="78"/>
    </row>
    <row r="736" spans="1:28" s="79" customFormat="1" ht="12.6" customHeight="1" x14ac:dyDescent="0.3">
      <c r="A736" s="102"/>
      <c r="B736" s="78"/>
      <c r="C736" s="78"/>
      <c r="D736" s="78"/>
      <c r="E736" s="78"/>
      <c r="F736" s="78"/>
      <c r="H736" s="78"/>
      <c r="I736" s="78"/>
      <c r="J736" s="78"/>
      <c r="K736" s="78"/>
      <c r="L736" s="78"/>
      <c r="M736" s="78"/>
      <c r="N736" s="78"/>
      <c r="O736" s="78"/>
      <c r="P736" s="78"/>
      <c r="Q736" s="78"/>
      <c r="R736" s="78"/>
      <c r="S736" s="78"/>
      <c r="T736" s="78"/>
      <c r="U736" s="78"/>
      <c r="V736" s="78"/>
      <c r="W736" s="78"/>
      <c r="X736" s="78"/>
      <c r="Y736" s="78"/>
      <c r="Z736" s="78"/>
      <c r="AA736" s="78"/>
      <c r="AB736" s="78"/>
    </row>
    <row r="737" spans="1:28" s="79" customFormat="1" ht="12.6" customHeight="1" x14ac:dyDescent="0.3">
      <c r="A737" s="102"/>
      <c r="B737" s="78"/>
      <c r="C737" s="78"/>
      <c r="D737" s="78"/>
      <c r="E737" s="78"/>
      <c r="F737" s="78"/>
      <c r="H737" s="78"/>
      <c r="I737" s="78"/>
      <c r="J737" s="78"/>
      <c r="K737" s="78"/>
      <c r="L737" s="78"/>
      <c r="M737" s="78"/>
      <c r="N737" s="78"/>
      <c r="O737" s="78"/>
      <c r="P737" s="78"/>
      <c r="Q737" s="78"/>
      <c r="R737" s="78"/>
      <c r="S737" s="78"/>
      <c r="T737" s="78"/>
      <c r="U737" s="78"/>
      <c r="V737" s="78"/>
      <c r="W737" s="78"/>
      <c r="X737" s="78"/>
      <c r="Y737" s="78"/>
      <c r="Z737" s="78"/>
      <c r="AA737" s="78"/>
      <c r="AB737" s="78"/>
    </row>
    <row r="738" spans="1:28" s="79" customFormat="1" ht="12.6" customHeight="1" x14ac:dyDescent="0.3">
      <c r="A738" s="102"/>
      <c r="B738" s="78"/>
      <c r="C738" s="78"/>
      <c r="D738" s="78"/>
      <c r="E738" s="78"/>
      <c r="F738" s="78"/>
      <c r="H738" s="78"/>
      <c r="I738" s="78"/>
      <c r="J738" s="78"/>
      <c r="K738" s="78"/>
      <c r="L738" s="78"/>
      <c r="M738" s="78"/>
      <c r="N738" s="78"/>
      <c r="O738" s="78"/>
      <c r="P738" s="78"/>
      <c r="Q738" s="78"/>
      <c r="R738" s="78"/>
      <c r="S738" s="78"/>
      <c r="T738" s="78"/>
      <c r="U738" s="78"/>
      <c r="V738" s="78"/>
      <c r="W738" s="78"/>
      <c r="X738" s="78"/>
      <c r="Y738" s="78"/>
      <c r="Z738" s="78"/>
      <c r="AA738" s="78"/>
      <c r="AB738" s="78"/>
    </row>
    <row r="739" spans="1:28" s="79" customFormat="1" ht="12.6" customHeight="1" x14ac:dyDescent="0.3">
      <c r="A739" s="102"/>
      <c r="B739" s="78"/>
      <c r="C739" s="78"/>
      <c r="D739" s="78"/>
      <c r="E739" s="78"/>
      <c r="F739" s="78"/>
      <c r="H739" s="78"/>
      <c r="I739" s="78"/>
      <c r="J739" s="78"/>
      <c r="K739" s="78"/>
      <c r="L739" s="78"/>
      <c r="M739" s="78"/>
      <c r="N739" s="78"/>
      <c r="O739" s="78"/>
      <c r="P739" s="78"/>
      <c r="Q739" s="78"/>
      <c r="R739" s="78"/>
      <c r="S739" s="78"/>
      <c r="T739" s="78"/>
      <c r="U739" s="78"/>
      <c r="V739" s="78"/>
      <c r="W739" s="78"/>
      <c r="X739" s="78"/>
      <c r="Y739" s="78"/>
      <c r="Z739" s="78"/>
      <c r="AA739" s="78"/>
      <c r="AB739" s="78"/>
    </row>
    <row r="740" spans="1:28" s="79" customFormat="1" ht="12.6" customHeight="1" x14ac:dyDescent="0.3">
      <c r="A740" s="102"/>
      <c r="B740" s="78"/>
      <c r="C740" s="78"/>
      <c r="D740" s="78"/>
      <c r="E740" s="78"/>
      <c r="F740" s="78"/>
      <c r="H740" s="78"/>
      <c r="I740" s="78"/>
      <c r="J740" s="78"/>
      <c r="K740" s="78"/>
      <c r="L740" s="78"/>
      <c r="M740" s="78"/>
      <c r="N740" s="78"/>
      <c r="O740" s="78"/>
      <c r="P740" s="78"/>
      <c r="Q740" s="78"/>
      <c r="R740" s="78"/>
      <c r="S740" s="78"/>
      <c r="T740" s="78"/>
      <c r="U740" s="78"/>
      <c r="V740" s="78"/>
      <c r="W740" s="78"/>
      <c r="X740" s="78"/>
      <c r="Y740" s="78"/>
      <c r="Z740" s="78"/>
      <c r="AA740" s="78"/>
      <c r="AB740" s="78"/>
    </row>
    <row r="741" spans="1:28" s="79" customFormat="1" ht="12.6" customHeight="1" x14ac:dyDescent="0.3">
      <c r="A741" s="102"/>
      <c r="B741" s="78"/>
      <c r="C741" s="78"/>
      <c r="D741" s="78"/>
      <c r="E741" s="78"/>
      <c r="F741" s="78"/>
      <c r="H741" s="78"/>
      <c r="I741" s="78"/>
      <c r="J741" s="78"/>
      <c r="K741" s="78"/>
      <c r="L741" s="78"/>
      <c r="M741" s="78"/>
      <c r="N741" s="78"/>
      <c r="O741" s="78"/>
      <c r="P741" s="78"/>
      <c r="Q741" s="78"/>
      <c r="R741" s="78"/>
      <c r="S741" s="78"/>
      <c r="T741" s="78"/>
      <c r="U741" s="78"/>
      <c r="V741" s="78"/>
      <c r="W741" s="78"/>
      <c r="X741" s="78"/>
      <c r="Y741" s="78"/>
      <c r="Z741" s="78"/>
      <c r="AA741" s="78"/>
      <c r="AB741" s="78"/>
    </row>
    <row r="742" spans="1:28" s="79" customFormat="1" ht="12.6" customHeight="1" x14ac:dyDescent="0.3">
      <c r="A742" s="102"/>
      <c r="B742" s="78"/>
      <c r="C742" s="78"/>
      <c r="D742" s="78"/>
      <c r="E742" s="78"/>
      <c r="F742" s="78"/>
      <c r="H742" s="78"/>
      <c r="I742" s="78"/>
      <c r="J742" s="78"/>
      <c r="K742" s="78"/>
      <c r="L742" s="78"/>
      <c r="M742" s="78"/>
      <c r="N742" s="78"/>
      <c r="O742" s="78"/>
      <c r="P742" s="78"/>
      <c r="Q742" s="78"/>
      <c r="R742" s="78"/>
      <c r="S742" s="78"/>
      <c r="T742" s="78"/>
      <c r="U742" s="78"/>
      <c r="V742" s="78"/>
      <c r="W742" s="78"/>
      <c r="X742" s="78"/>
      <c r="Y742" s="78"/>
      <c r="Z742" s="78"/>
      <c r="AA742" s="78"/>
      <c r="AB742" s="78"/>
    </row>
    <row r="743" spans="1:28" s="79" customFormat="1" ht="12.6" customHeight="1" x14ac:dyDescent="0.3">
      <c r="A743" s="102"/>
      <c r="B743" s="78"/>
      <c r="C743" s="78"/>
      <c r="D743" s="78"/>
      <c r="E743" s="78"/>
      <c r="F743" s="78"/>
      <c r="H743" s="78"/>
      <c r="I743" s="78"/>
      <c r="J743" s="78"/>
      <c r="K743" s="78"/>
      <c r="L743" s="78"/>
      <c r="M743" s="78"/>
      <c r="N743" s="78"/>
      <c r="O743" s="78"/>
      <c r="P743" s="78"/>
      <c r="Q743" s="78"/>
      <c r="R743" s="78"/>
      <c r="S743" s="78"/>
      <c r="T743" s="78"/>
      <c r="U743" s="78"/>
      <c r="V743" s="78"/>
      <c r="W743" s="78"/>
      <c r="X743" s="78"/>
      <c r="Y743" s="78"/>
      <c r="Z743" s="78"/>
      <c r="AA743" s="78"/>
      <c r="AB743" s="78"/>
    </row>
    <row r="744" spans="1:28" s="79" customFormat="1" ht="12.6" customHeight="1" x14ac:dyDescent="0.3">
      <c r="A744" s="102"/>
      <c r="B744" s="78"/>
      <c r="C744" s="78"/>
      <c r="D744" s="78"/>
      <c r="E744" s="78"/>
      <c r="F744" s="78"/>
      <c r="H744" s="78"/>
      <c r="I744" s="78"/>
      <c r="J744" s="78"/>
      <c r="K744" s="78"/>
      <c r="L744" s="78"/>
      <c r="M744" s="78"/>
      <c r="N744" s="78"/>
      <c r="O744" s="78"/>
      <c r="P744" s="78"/>
      <c r="Q744" s="78"/>
      <c r="R744" s="78"/>
      <c r="S744" s="78"/>
      <c r="T744" s="78"/>
      <c r="U744" s="78"/>
      <c r="V744" s="78"/>
      <c r="W744" s="78"/>
      <c r="X744" s="78"/>
      <c r="Y744" s="78"/>
      <c r="Z744" s="78"/>
      <c r="AA744" s="78"/>
      <c r="AB744" s="78"/>
    </row>
    <row r="745" spans="1:28" s="79" customFormat="1" ht="12.6" customHeight="1" x14ac:dyDescent="0.3">
      <c r="A745" s="102"/>
      <c r="B745" s="78"/>
      <c r="C745" s="78"/>
      <c r="D745" s="78"/>
      <c r="E745" s="78"/>
      <c r="F745" s="78"/>
      <c r="H745" s="78"/>
      <c r="I745" s="78"/>
      <c r="J745" s="78"/>
      <c r="K745" s="78"/>
      <c r="L745" s="78"/>
      <c r="M745" s="78"/>
      <c r="N745" s="78"/>
      <c r="O745" s="78"/>
      <c r="P745" s="78"/>
      <c r="Q745" s="78"/>
      <c r="R745" s="78"/>
      <c r="S745" s="78"/>
      <c r="T745" s="78"/>
      <c r="U745" s="78"/>
      <c r="V745" s="78"/>
      <c r="W745" s="78"/>
      <c r="X745" s="78"/>
      <c r="Y745" s="78"/>
      <c r="Z745" s="78"/>
      <c r="AA745" s="78"/>
      <c r="AB745" s="78"/>
    </row>
    <row r="746" spans="1:28" s="79" customFormat="1" ht="12.6" customHeight="1" x14ac:dyDescent="0.3">
      <c r="A746" s="102"/>
      <c r="B746" s="78"/>
      <c r="C746" s="78"/>
      <c r="D746" s="78"/>
      <c r="E746" s="78"/>
      <c r="F746" s="78"/>
      <c r="H746" s="78"/>
      <c r="I746" s="78"/>
      <c r="J746" s="78"/>
      <c r="K746" s="78"/>
      <c r="L746" s="78"/>
      <c r="M746" s="78"/>
      <c r="N746" s="78"/>
      <c r="O746" s="78"/>
      <c r="P746" s="78"/>
      <c r="Q746" s="78"/>
      <c r="R746" s="78"/>
      <c r="S746" s="78"/>
      <c r="T746" s="78"/>
      <c r="U746" s="78"/>
      <c r="V746" s="78"/>
      <c r="W746" s="78"/>
      <c r="X746" s="78"/>
      <c r="Y746" s="78"/>
      <c r="Z746" s="78"/>
      <c r="AA746" s="78"/>
      <c r="AB746" s="78"/>
    </row>
    <row r="747" spans="1:28" s="79" customFormat="1" ht="12.6" customHeight="1" x14ac:dyDescent="0.3">
      <c r="A747" s="102"/>
      <c r="B747" s="78"/>
      <c r="C747" s="78"/>
      <c r="D747" s="78"/>
      <c r="E747" s="78"/>
      <c r="F747" s="78"/>
      <c r="H747" s="78"/>
      <c r="I747" s="78"/>
      <c r="J747" s="78"/>
      <c r="K747" s="78"/>
      <c r="L747" s="78"/>
      <c r="M747" s="78"/>
      <c r="N747" s="78"/>
      <c r="O747" s="78"/>
      <c r="P747" s="78"/>
      <c r="Q747" s="78"/>
      <c r="R747" s="78"/>
      <c r="S747" s="78"/>
      <c r="T747" s="78"/>
      <c r="U747" s="78"/>
      <c r="V747" s="78"/>
      <c r="W747" s="78"/>
      <c r="X747" s="78"/>
      <c r="Y747" s="78"/>
      <c r="Z747" s="78"/>
      <c r="AA747" s="78"/>
      <c r="AB747" s="78"/>
    </row>
    <row r="748" spans="1:28" s="79" customFormat="1" ht="12.6" customHeight="1" x14ac:dyDescent="0.3">
      <c r="A748" s="102"/>
      <c r="B748" s="78"/>
      <c r="C748" s="78"/>
      <c r="D748" s="78"/>
      <c r="E748" s="78"/>
      <c r="F748" s="78"/>
      <c r="H748" s="78"/>
      <c r="I748" s="78"/>
      <c r="J748" s="78"/>
      <c r="K748" s="78"/>
      <c r="L748" s="78"/>
      <c r="M748" s="78"/>
      <c r="N748" s="78"/>
      <c r="O748" s="78"/>
      <c r="P748" s="78"/>
      <c r="Q748" s="78"/>
      <c r="R748" s="78"/>
      <c r="S748" s="78"/>
      <c r="T748" s="78"/>
      <c r="U748" s="78"/>
      <c r="V748" s="78"/>
      <c r="W748" s="78"/>
      <c r="X748" s="78"/>
      <c r="Y748" s="78"/>
      <c r="Z748" s="78"/>
      <c r="AA748" s="78"/>
      <c r="AB748" s="78"/>
    </row>
    <row r="749" spans="1:28" s="79" customFormat="1" ht="12.6" customHeight="1" x14ac:dyDescent="0.3">
      <c r="A749" s="102"/>
      <c r="B749" s="78"/>
      <c r="C749" s="78"/>
      <c r="D749" s="78"/>
      <c r="E749" s="78"/>
      <c r="F749" s="78"/>
      <c r="H749" s="78"/>
      <c r="I749" s="78"/>
      <c r="J749" s="78"/>
      <c r="K749" s="78"/>
      <c r="L749" s="78"/>
      <c r="M749" s="78"/>
      <c r="N749" s="78"/>
      <c r="O749" s="78"/>
      <c r="P749" s="78"/>
      <c r="Q749" s="78"/>
      <c r="R749" s="78"/>
      <c r="S749" s="78"/>
      <c r="T749" s="78"/>
      <c r="U749" s="78"/>
      <c r="V749" s="78"/>
      <c r="W749" s="78"/>
      <c r="X749" s="78"/>
      <c r="Y749" s="78"/>
      <c r="Z749" s="78"/>
      <c r="AA749" s="78"/>
      <c r="AB749" s="78"/>
    </row>
    <row r="750" spans="1:28" s="79" customFormat="1" ht="12.6" customHeight="1" x14ac:dyDescent="0.3">
      <c r="A750" s="102"/>
      <c r="B750" s="78"/>
      <c r="C750" s="78"/>
      <c r="D750" s="78"/>
      <c r="E750" s="78"/>
      <c r="F750" s="78"/>
      <c r="H750" s="78"/>
      <c r="I750" s="78"/>
      <c r="J750" s="78"/>
      <c r="K750" s="78"/>
      <c r="L750" s="78"/>
      <c r="M750" s="78"/>
      <c r="N750" s="78"/>
      <c r="O750" s="78"/>
      <c r="P750" s="78"/>
      <c r="Q750" s="78"/>
      <c r="R750" s="78"/>
      <c r="S750" s="78"/>
      <c r="T750" s="78"/>
      <c r="U750" s="78"/>
      <c r="V750" s="78"/>
      <c r="W750" s="78"/>
      <c r="X750" s="78"/>
      <c r="Y750" s="78"/>
      <c r="Z750" s="78"/>
      <c r="AA750" s="78"/>
      <c r="AB750" s="78"/>
    </row>
    <row r="751" spans="1:28" s="79" customFormat="1" ht="12.6" customHeight="1" x14ac:dyDescent="0.3">
      <c r="A751" s="102"/>
      <c r="B751" s="78"/>
      <c r="C751" s="78"/>
      <c r="D751" s="78"/>
      <c r="E751" s="78"/>
      <c r="F751" s="78"/>
      <c r="H751" s="78"/>
      <c r="I751" s="78"/>
      <c r="J751" s="78"/>
      <c r="K751" s="78"/>
      <c r="L751" s="78"/>
      <c r="M751" s="78"/>
      <c r="N751" s="78"/>
      <c r="O751" s="78"/>
      <c r="P751" s="78"/>
      <c r="Q751" s="78"/>
      <c r="R751" s="78"/>
      <c r="S751" s="78"/>
      <c r="T751" s="78"/>
      <c r="U751" s="78"/>
      <c r="V751" s="78"/>
      <c r="W751" s="78"/>
      <c r="X751" s="78"/>
      <c r="Y751" s="78"/>
      <c r="Z751" s="78"/>
      <c r="AA751" s="78"/>
      <c r="AB751" s="78"/>
    </row>
    <row r="752" spans="1:28" s="79" customFormat="1" ht="12.6" customHeight="1" x14ac:dyDescent="0.3">
      <c r="A752" s="102"/>
      <c r="B752" s="78"/>
      <c r="C752" s="78"/>
      <c r="D752" s="78"/>
      <c r="E752" s="78"/>
      <c r="F752" s="78"/>
      <c r="H752" s="78"/>
      <c r="I752" s="78"/>
      <c r="J752" s="78"/>
      <c r="K752" s="78"/>
      <c r="L752" s="78"/>
      <c r="M752" s="78"/>
      <c r="N752" s="78"/>
      <c r="O752" s="78"/>
      <c r="P752" s="78"/>
      <c r="Q752" s="78"/>
      <c r="R752" s="78"/>
      <c r="S752" s="78"/>
      <c r="T752" s="78"/>
      <c r="U752" s="78"/>
      <c r="V752" s="78"/>
      <c r="W752" s="78"/>
      <c r="X752" s="78"/>
      <c r="Y752" s="78"/>
      <c r="Z752" s="78"/>
      <c r="AA752" s="78"/>
      <c r="AB752" s="78"/>
    </row>
    <row r="753" spans="1:28" s="79" customFormat="1" ht="12.6" customHeight="1" x14ac:dyDescent="0.3">
      <c r="A753" s="102"/>
      <c r="B753" s="78"/>
      <c r="C753" s="78"/>
      <c r="D753" s="78"/>
      <c r="E753" s="78"/>
      <c r="F753" s="78"/>
      <c r="H753" s="78"/>
      <c r="I753" s="78"/>
      <c r="J753" s="78"/>
      <c r="K753" s="78"/>
      <c r="L753" s="78"/>
      <c r="M753" s="78"/>
      <c r="N753" s="78"/>
      <c r="O753" s="78"/>
      <c r="P753" s="78"/>
      <c r="Q753" s="78"/>
      <c r="R753" s="78"/>
      <c r="S753" s="78"/>
      <c r="T753" s="78"/>
      <c r="U753" s="78"/>
      <c r="V753" s="78"/>
      <c r="W753" s="78"/>
      <c r="X753" s="78"/>
      <c r="Y753" s="78"/>
      <c r="Z753" s="78"/>
      <c r="AA753" s="78"/>
      <c r="AB753" s="78"/>
    </row>
    <row r="754" spans="1:28" s="79" customFormat="1" ht="12.6" customHeight="1" x14ac:dyDescent="0.3">
      <c r="A754" s="102"/>
      <c r="B754" s="78"/>
      <c r="C754" s="78"/>
      <c r="D754" s="78"/>
      <c r="E754" s="78"/>
      <c r="F754" s="78"/>
      <c r="H754" s="78"/>
      <c r="I754" s="78"/>
      <c r="J754" s="78"/>
      <c r="K754" s="78"/>
      <c r="L754" s="78"/>
      <c r="M754" s="78"/>
      <c r="N754" s="78"/>
      <c r="O754" s="78"/>
      <c r="P754" s="78"/>
      <c r="Q754" s="78"/>
      <c r="R754" s="78"/>
      <c r="S754" s="78"/>
      <c r="T754" s="78"/>
      <c r="U754" s="78"/>
      <c r="V754" s="78"/>
      <c r="W754" s="78"/>
      <c r="X754" s="78"/>
      <c r="Y754" s="78"/>
      <c r="Z754" s="78"/>
      <c r="AA754" s="78"/>
      <c r="AB754" s="78"/>
    </row>
    <row r="755" spans="1:28" s="79" customFormat="1" ht="12.6" customHeight="1" x14ac:dyDescent="0.3">
      <c r="A755" s="102"/>
      <c r="B755" s="78"/>
      <c r="C755" s="78"/>
      <c r="D755" s="78"/>
      <c r="E755" s="78"/>
      <c r="F755" s="78"/>
      <c r="H755" s="78"/>
      <c r="I755" s="78"/>
      <c r="J755" s="78"/>
      <c r="K755" s="78"/>
      <c r="L755" s="78"/>
      <c r="M755" s="78"/>
      <c r="N755" s="78"/>
      <c r="O755" s="78"/>
      <c r="P755" s="78"/>
      <c r="Q755" s="78"/>
      <c r="R755" s="78"/>
      <c r="S755" s="78"/>
      <c r="T755" s="78"/>
      <c r="U755" s="78"/>
      <c r="V755" s="78"/>
      <c r="W755" s="78"/>
      <c r="X755" s="78"/>
      <c r="Y755" s="78"/>
      <c r="Z755" s="78"/>
      <c r="AA755" s="78"/>
      <c r="AB755" s="78"/>
    </row>
    <row r="756" spans="1:28" s="79" customFormat="1" ht="12.6" customHeight="1" x14ac:dyDescent="0.3">
      <c r="A756" s="102"/>
      <c r="B756" s="78"/>
      <c r="C756" s="78"/>
      <c r="D756" s="78"/>
      <c r="E756" s="78"/>
      <c r="F756" s="78"/>
      <c r="H756" s="78"/>
      <c r="I756" s="78"/>
      <c r="J756" s="78"/>
      <c r="K756" s="78"/>
      <c r="L756" s="78"/>
      <c r="M756" s="78"/>
      <c r="N756" s="78"/>
      <c r="O756" s="78"/>
      <c r="P756" s="78"/>
      <c r="Q756" s="78"/>
      <c r="R756" s="78"/>
      <c r="S756" s="78"/>
      <c r="T756" s="78"/>
      <c r="U756" s="78"/>
      <c r="V756" s="78"/>
      <c r="W756" s="78"/>
      <c r="X756" s="78"/>
      <c r="Y756" s="78"/>
      <c r="Z756" s="78"/>
      <c r="AA756" s="78"/>
      <c r="AB756" s="78"/>
    </row>
    <row r="757" spans="1:28" s="79" customFormat="1" ht="12.6" customHeight="1" x14ac:dyDescent="0.3">
      <c r="A757" s="102"/>
      <c r="B757" s="78"/>
      <c r="C757" s="78"/>
      <c r="D757" s="78"/>
      <c r="E757" s="78"/>
      <c r="F757" s="78"/>
      <c r="H757" s="78"/>
      <c r="I757" s="78"/>
      <c r="J757" s="78"/>
      <c r="K757" s="78"/>
      <c r="L757" s="78"/>
      <c r="M757" s="78"/>
      <c r="N757" s="78"/>
      <c r="O757" s="78"/>
      <c r="P757" s="78"/>
      <c r="Q757" s="78"/>
      <c r="R757" s="78"/>
      <c r="S757" s="78"/>
      <c r="T757" s="78"/>
      <c r="U757" s="78"/>
      <c r="V757" s="78"/>
      <c r="W757" s="78"/>
      <c r="X757" s="78"/>
      <c r="Y757" s="78"/>
      <c r="Z757" s="78"/>
      <c r="AA757" s="78"/>
      <c r="AB757" s="78"/>
    </row>
    <row r="758" spans="1:28" s="79" customFormat="1" ht="12.6" customHeight="1" x14ac:dyDescent="0.3">
      <c r="A758" s="102"/>
      <c r="B758" s="78"/>
      <c r="C758" s="78"/>
      <c r="D758" s="78"/>
      <c r="E758" s="78"/>
      <c r="F758" s="78"/>
      <c r="H758" s="78"/>
      <c r="I758" s="78"/>
      <c r="J758" s="78"/>
      <c r="K758" s="78"/>
      <c r="L758" s="78"/>
      <c r="M758" s="78"/>
      <c r="N758" s="78"/>
      <c r="O758" s="78"/>
      <c r="P758" s="78"/>
      <c r="Q758" s="78"/>
      <c r="R758" s="78"/>
      <c r="S758" s="78"/>
      <c r="T758" s="78"/>
      <c r="U758" s="78"/>
      <c r="V758" s="78"/>
      <c r="W758" s="78"/>
      <c r="X758" s="78"/>
      <c r="Y758" s="78"/>
      <c r="Z758" s="78"/>
      <c r="AA758" s="78"/>
      <c r="AB758" s="78"/>
    </row>
    <row r="759" spans="1:28" s="79" customFormat="1" ht="12.6" customHeight="1" x14ac:dyDescent="0.3">
      <c r="A759" s="102"/>
      <c r="B759" s="78"/>
      <c r="C759" s="78"/>
      <c r="D759" s="78"/>
      <c r="E759" s="78"/>
      <c r="F759" s="78"/>
      <c r="H759" s="78"/>
      <c r="I759" s="78"/>
      <c r="J759" s="78"/>
      <c r="K759" s="78"/>
      <c r="L759" s="78"/>
      <c r="M759" s="78"/>
      <c r="N759" s="78"/>
      <c r="O759" s="78"/>
      <c r="P759" s="78"/>
      <c r="Q759" s="78"/>
      <c r="R759" s="78"/>
      <c r="S759" s="78"/>
      <c r="T759" s="78"/>
      <c r="U759" s="78"/>
      <c r="V759" s="78"/>
      <c r="W759" s="78"/>
      <c r="X759" s="78"/>
      <c r="Y759" s="78"/>
      <c r="Z759" s="78"/>
      <c r="AA759" s="78"/>
      <c r="AB759" s="78"/>
    </row>
    <row r="760" spans="1:28" s="79" customFormat="1" ht="12.6" customHeight="1" x14ac:dyDescent="0.3">
      <c r="A760" s="102"/>
      <c r="B760" s="78"/>
      <c r="C760" s="78"/>
      <c r="D760" s="78"/>
      <c r="E760" s="78"/>
      <c r="F760" s="78"/>
      <c r="H760" s="78"/>
      <c r="I760" s="78"/>
      <c r="J760" s="78"/>
      <c r="K760" s="78"/>
      <c r="L760" s="78"/>
      <c r="M760" s="78"/>
      <c r="N760" s="78"/>
      <c r="O760" s="78"/>
      <c r="P760" s="78"/>
      <c r="Q760" s="78"/>
      <c r="R760" s="78"/>
      <c r="S760" s="78"/>
      <c r="T760" s="78"/>
      <c r="U760" s="78"/>
      <c r="V760" s="78"/>
      <c r="W760" s="78"/>
      <c r="X760" s="78"/>
      <c r="Y760" s="78"/>
      <c r="Z760" s="78"/>
      <c r="AA760" s="78"/>
      <c r="AB760" s="78"/>
    </row>
    <row r="761" spans="1:28" s="79" customFormat="1" ht="12.6" customHeight="1" x14ac:dyDescent="0.3">
      <c r="A761" s="102"/>
      <c r="B761" s="78"/>
      <c r="C761" s="78"/>
      <c r="D761" s="78"/>
      <c r="E761" s="78"/>
      <c r="F761" s="78"/>
      <c r="H761" s="78"/>
      <c r="I761" s="78"/>
      <c r="J761" s="78"/>
      <c r="K761" s="78"/>
      <c r="L761" s="78"/>
      <c r="M761" s="78"/>
      <c r="N761" s="78"/>
      <c r="O761" s="78"/>
      <c r="P761" s="78"/>
      <c r="Q761" s="78"/>
      <c r="R761" s="78"/>
      <c r="S761" s="78"/>
      <c r="T761" s="78"/>
      <c r="U761" s="78"/>
      <c r="V761" s="78"/>
      <c r="W761" s="78"/>
      <c r="X761" s="78"/>
      <c r="Y761" s="78"/>
      <c r="Z761" s="78"/>
      <c r="AA761" s="78"/>
      <c r="AB761" s="78"/>
    </row>
    <row r="762" spans="1:28" s="79" customFormat="1" ht="12.6" customHeight="1" x14ac:dyDescent="0.3">
      <c r="A762" s="102"/>
      <c r="B762" s="78"/>
      <c r="C762" s="78"/>
      <c r="D762" s="78"/>
      <c r="E762" s="78"/>
      <c r="F762" s="78"/>
      <c r="H762" s="78"/>
      <c r="I762" s="78"/>
      <c r="J762" s="78"/>
      <c r="K762" s="78"/>
      <c r="L762" s="78"/>
      <c r="M762" s="78"/>
      <c r="N762" s="78"/>
      <c r="O762" s="78"/>
      <c r="P762" s="78"/>
      <c r="Q762" s="78"/>
      <c r="R762" s="78"/>
      <c r="S762" s="78"/>
      <c r="T762" s="78"/>
      <c r="U762" s="78"/>
      <c r="V762" s="78"/>
      <c r="W762" s="78"/>
      <c r="X762" s="78"/>
      <c r="Y762" s="78"/>
      <c r="Z762" s="78"/>
      <c r="AA762" s="78"/>
      <c r="AB762" s="78"/>
    </row>
    <row r="763" spans="1:28" s="79" customFormat="1" ht="12.6" customHeight="1" x14ac:dyDescent="0.3">
      <c r="A763" s="102"/>
      <c r="B763" s="78"/>
      <c r="C763" s="78"/>
      <c r="D763" s="78"/>
      <c r="E763" s="78"/>
      <c r="F763" s="78"/>
      <c r="H763" s="78"/>
      <c r="I763" s="78"/>
      <c r="J763" s="78"/>
      <c r="K763" s="78"/>
      <c r="L763" s="78"/>
      <c r="M763" s="78"/>
      <c r="N763" s="78"/>
      <c r="O763" s="78"/>
      <c r="P763" s="78"/>
      <c r="Q763" s="78"/>
      <c r="R763" s="78"/>
      <c r="S763" s="78"/>
      <c r="T763" s="78"/>
      <c r="U763" s="78"/>
      <c r="V763" s="78"/>
      <c r="W763" s="78"/>
      <c r="X763" s="78"/>
      <c r="Y763" s="78"/>
      <c r="Z763" s="78"/>
      <c r="AA763" s="78"/>
      <c r="AB763" s="78"/>
    </row>
    <row r="764" spans="1:28" s="79" customFormat="1" ht="12.6" customHeight="1" x14ac:dyDescent="0.3">
      <c r="A764" s="102"/>
      <c r="B764" s="78"/>
      <c r="C764" s="78"/>
      <c r="D764" s="78"/>
      <c r="E764" s="78"/>
      <c r="F764" s="78"/>
      <c r="H764" s="78"/>
      <c r="I764" s="78"/>
      <c r="J764" s="78"/>
      <c r="K764" s="78"/>
      <c r="L764" s="78"/>
      <c r="M764" s="78"/>
      <c r="N764" s="78"/>
      <c r="O764" s="78"/>
      <c r="P764" s="78"/>
      <c r="Q764" s="78"/>
      <c r="R764" s="78"/>
      <c r="S764" s="78"/>
      <c r="T764" s="78"/>
      <c r="U764" s="78"/>
      <c r="V764" s="78"/>
      <c r="W764" s="78"/>
      <c r="X764" s="78"/>
      <c r="Y764" s="78"/>
      <c r="Z764" s="78"/>
      <c r="AA764" s="78"/>
      <c r="AB764" s="78"/>
    </row>
    <row r="765" spans="1:28" s="79" customFormat="1" ht="12.6" customHeight="1" x14ac:dyDescent="0.3">
      <c r="A765" s="102"/>
      <c r="B765" s="78"/>
      <c r="C765" s="78"/>
      <c r="D765" s="78"/>
      <c r="E765" s="78"/>
      <c r="F765" s="78"/>
      <c r="H765" s="78"/>
      <c r="I765" s="78"/>
      <c r="J765" s="78"/>
      <c r="K765" s="78"/>
      <c r="L765" s="78"/>
      <c r="M765" s="78"/>
      <c r="N765" s="78"/>
      <c r="O765" s="78"/>
      <c r="P765" s="78"/>
      <c r="Q765" s="78"/>
      <c r="R765" s="78"/>
      <c r="S765" s="78"/>
      <c r="T765" s="78"/>
      <c r="U765" s="78"/>
      <c r="V765" s="78"/>
      <c r="W765" s="78"/>
      <c r="X765" s="78"/>
      <c r="Y765" s="78"/>
      <c r="Z765" s="78"/>
      <c r="AA765" s="78"/>
      <c r="AB765" s="78"/>
    </row>
    <row r="766" spans="1:28" s="79" customFormat="1" ht="12.6" customHeight="1" x14ac:dyDescent="0.3">
      <c r="A766" s="102"/>
      <c r="B766" s="78"/>
      <c r="C766" s="78"/>
      <c r="D766" s="78"/>
      <c r="E766" s="78"/>
      <c r="F766" s="78"/>
      <c r="H766" s="78"/>
      <c r="I766" s="78"/>
      <c r="J766" s="78"/>
      <c r="K766" s="78"/>
      <c r="L766" s="78"/>
      <c r="M766" s="78"/>
      <c r="N766" s="78"/>
      <c r="O766" s="78"/>
      <c r="P766" s="78"/>
      <c r="Q766" s="78"/>
      <c r="R766" s="78"/>
      <c r="S766" s="78"/>
      <c r="T766" s="78"/>
      <c r="U766" s="78"/>
      <c r="V766" s="78"/>
      <c r="W766" s="78"/>
      <c r="X766" s="78"/>
      <c r="Y766" s="78"/>
      <c r="Z766" s="78"/>
      <c r="AA766" s="78"/>
      <c r="AB766" s="78"/>
    </row>
    <row r="767" spans="1:28" s="79" customFormat="1" ht="12.6" customHeight="1" x14ac:dyDescent="0.3">
      <c r="A767" s="102"/>
      <c r="B767" s="78"/>
      <c r="C767" s="78"/>
      <c r="D767" s="78"/>
      <c r="E767" s="78"/>
      <c r="F767" s="78"/>
      <c r="H767" s="78"/>
      <c r="I767" s="78"/>
      <c r="J767" s="78"/>
      <c r="K767" s="78"/>
      <c r="L767" s="78"/>
      <c r="M767" s="78"/>
      <c r="N767" s="78"/>
      <c r="O767" s="78"/>
      <c r="P767" s="78"/>
      <c r="Q767" s="78"/>
      <c r="R767" s="78"/>
      <c r="S767" s="78"/>
      <c r="T767" s="78"/>
      <c r="U767" s="78"/>
      <c r="V767" s="78"/>
      <c r="W767" s="78"/>
      <c r="X767" s="78"/>
      <c r="Y767" s="78"/>
      <c r="Z767" s="78"/>
      <c r="AA767" s="78"/>
      <c r="AB767" s="78"/>
    </row>
    <row r="768" spans="1:28" s="79" customFormat="1" ht="12.6" customHeight="1" x14ac:dyDescent="0.3">
      <c r="A768" s="102"/>
      <c r="B768" s="78"/>
      <c r="C768" s="78"/>
      <c r="D768" s="78"/>
      <c r="E768" s="78"/>
      <c r="F768" s="78"/>
      <c r="H768" s="78"/>
      <c r="I768" s="78"/>
      <c r="J768" s="78"/>
      <c r="K768" s="78"/>
      <c r="L768" s="78"/>
      <c r="M768" s="78"/>
      <c r="N768" s="78"/>
      <c r="O768" s="78"/>
      <c r="P768" s="78"/>
      <c r="Q768" s="78"/>
      <c r="R768" s="78"/>
      <c r="S768" s="78"/>
      <c r="T768" s="78"/>
      <c r="U768" s="78"/>
      <c r="V768" s="78"/>
      <c r="W768" s="78"/>
      <c r="X768" s="78"/>
      <c r="Y768" s="78"/>
      <c r="Z768" s="78"/>
      <c r="AA768" s="78"/>
      <c r="AB768" s="78"/>
    </row>
    <row r="769" spans="1:28" s="79" customFormat="1" ht="12.6" customHeight="1" x14ac:dyDescent="0.3">
      <c r="A769" s="102"/>
      <c r="B769" s="78"/>
      <c r="C769" s="78"/>
      <c r="D769" s="78"/>
      <c r="E769" s="78"/>
      <c r="F769" s="78"/>
      <c r="H769" s="78"/>
      <c r="I769" s="78"/>
      <c r="J769" s="78"/>
      <c r="K769" s="78"/>
      <c r="L769" s="78"/>
      <c r="M769" s="78"/>
      <c r="N769" s="78"/>
      <c r="O769" s="78"/>
      <c r="P769" s="78"/>
      <c r="Q769" s="78"/>
      <c r="R769" s="78"/>
      <c r="S769" s="78"/>
      <c r="T769" s="78"/>
      <c r="U769" s="78"/>
      <c r="V769" s="78"/>
      <c r="W769" s="78"/>
      <c r="X769" s="78"/>
      <c r="Y769" s="78"/>
      <c r="Z769" s="78"/>
      <c r="AA769" s="78"/>
      <c r="AB769" s="78"/>
    </row>
    <row r="770" spans="1:28" s="79" customFormat="1" ht="12.6" customHeight="1" x14ac:dyDescent="0.3">
      <c r="A770" s="102"/>
      <c r="B770" s="78"/>
      <c r="C770" s="78"/>
      <c r="D770" s="78"/>
      <c r="E770" s="78"/>
      <c r="F770" s="78"/>
      <c r="H770" s="78"/>
      <c r="I770" s="78"/>
      <c r="J770" s="78"/>
      <c r="K770" s="78"/>
      <c r="L770" s="78"/>
      <c r="M770" s="78"/>
      <c r="N770" s="78"/>
      <c r="O770" s="78"/>
      <c r="P770" s="78"/>
      <c r="Q770" s="78"/>
      <c r="R770" s="78"/>
      <c r="S770" s="78"/>
      <c r="T770" s="78"/>
      <c r="U770" s="78"/>
      <c r="V770" s="78"/>
      <c r="W770" s="78"/>
      <c r="X770" s="78"/>
      <c r="Y770" s="78"/>
      <c r="Z770" s="78"/>
      <c r="AA770" s="78"/>
      <c r="AB770" s="78"/>
    </row>
    <row r="771" spans="1:28" s="79" customFormat="1" ht="12.6" customHeight="1" x14ac:dyDescent="0.3">
      <c r="A771" s="102"/>
      <c r="B771" s="78"/>
      <c r="C771" s="78"/>
      <c r="D771" s="78"/>
      <c r="E771" s="78"/>
      <c r="F771" s="78"/>
      <c r="H771" s="78"/>
      <c r="I771" s="78"/>
      <c r="J771" s="78"/>
      <c r="K771" s="78"/>
      <c r="L771" s="78"/>
      <c r="M771" s="78"/>
      <c r="N771" s="78"/>
      <c r="O771" s="78"/>
      <c r="P771" s="78"/>
      <c r="Q771" s="78"/>
      <c r="R771" s="78"/>
      <c r="S771" s="78"/>
      <c r="T771" s="78"/>
      <c r="U771" s="78"/>
      <c r="V771" s="78"/>
      <c r="W771" s="78"/>
      <c r="X771" s="78"/>
      <c r="Y771" s="78"/>
      <c r="Z771" s="78"/>
      <c r="AA771" s="78"/>
      <c r="AB771" s="78"/>
    </row>
    <row r="772" spans="1:28" s="79" customFormat="1" ht="12.6" customHeight="1" x14ac:dyDescent="0.3">
      <c r="A772" s="102"/>
      <c r="B772" s="78"/>
      <c r="C772" s="78"/>
      <c r="D772" s="78"/>
      <c r="E772" s="78"/>
      <c r="F772" s="78"/>
      <c r="H772" s="78"/>
      <c r="I772" s="78"/>
      <c r="J772" s="78"/>
      <c r="K772" s="78"/>
      <c r="L772" s="78"/>
      <c r="M772" s="78"/>
      <c r="N772" s="78"/>
      <c r="O772" s="78"/>
      <c r="P772" s="78"/>
      <c r="Q772" s="78"/>
      <c r="R772" s="78"/>
      <c r="S772" s="78"/>
      <c r="T772" s="78"/>
      <c r="U772" s="78"/>
      <c r="V772" s="78"/>
      <c r="W772" s="78"/>
      <c r="X772" s="78"/>
      <c r="Y772" s="78"/>
      <c r="Z772" s="78"/>
      <c r="AA772" s="78"/>
      <c r="AB772" s="78"/>
    </row>
    <row r="773" spans="1:28" s="79" customFormat="1" ht="12.6" customHeight="1" x14ac:dyDescent="0.3">
      <c r="A773" s="102"/>
      <c r="B773" s="78"/>
      <c r="C773" s="78"/>
      <c r="D773" s="78"/>
      <c r="E773" s="78"/>
      <c r="F773" s="78"/>
      <c r="H773" s="78"/>
      <c r="I773" s="78"/>
      <c r="J773" s="78"/>
      <c r="K773" s="78"/>
      <c r="L773" s="78"/>
      <c r="M773" s="78"/>
      <c r="N773" s="78"/>
      <c r="O773" s="78"/>
      <c r="P773" s="78"/>
      <c r="Q773" s="78"/>
      <c r="R773" s="78"/>
      <c r="S773" s="78"/>
      <c r="T773" s="78"/>
      <c r="U773" s="78"/>
      <c r="V773" s="78"/>
      <c r="W773" s="78"/>
      <c r="X773" s="78"/>
      <c r="Y773" s="78"/>
      <c r="Z773" s="78"/>
      <c r="AA773" s="78"/>
      <c r="AB773" s="78"/>
    </row>
    <row r="774" spans="1:28" s="79" customFormat="1" ht="12.6" customHeight="1" x14ac:dyDescent="0.3">
      <c r="A774" s="102"/>
      <c r="B774" s="78"/>
      <c r="C774" s="78"/>
      <c r="D774" s="78"/>
      <c r="E774" s="78"/>
      <c r="F774" s="78"/>
      <c r="H774" s="78"/>
      <c r="I774" s="78"/>
      <c r="J774" s="78"/>
      <c r="K774" s="78"/>
      <c r="L774" s="78"/>
      <c r="M774" s="78"/>
      <c r="N774" s="78"/>
      <c r="O774" s="78"/>
      <c r="P774" s="78"/>
      <c r="Q774" s="78"/>
      <c r="R774" s="78"/>
      <c r="S774" s="78"/>
      <c r="T774" s="78"/>
      <c r="U774" s="78"/>
      <c r="V774" s="78"/>
      <c r="W774" s="78"/>
      <c r="X774" s="78"/>
      <c r="Y774" s="78"/>
      <c r="Z774" s="78"/>
      <c r="AA774" s="78"/>
      <c r="AB774" s="78"/>
    </row>
    <row r="775" spans="1:28" s="79" customFormat="1" ht="12.6" customHeight="1" x14ac:dyDescent="0.3">
      <c r="A775" s="102"/>
      <c r="B775" s="78"/>
      <c r="C775" s="78"/>
      <c r="D775" s="78"/>
      <c r="E775" s="78"/>
      <c r="F775" s="78"/>
      <c r="H775" s="78"/>
      <c r="I775" s="78"/>
      <c r="J775" s="78"/>
      <c r="K775" s="78"/>
      <c r="L775" s="78"/>
      <c r="M775" s="78"/>
      <c r="N775" s="78"/>
      <c r="O775" s="78"/>
      <c r="P775" s="78"/>
      <c r="Q775" s="78"/>
      <c r="R775" s="78"/>
      <c r="S775" s="78"/>
      <c r="T775" s="78"/>
      <c r="U775" s="78"/>
      <c r="V775" s="78"/>
      <c r="W775" s="78"/>
      <c r="X775" s="78"/>
      <c r="Y775" s="78"/>
      <c r="Z775" s="78"/>
      <c r="AA775" s="78"/>
      <c r="AB775" s="78"/>
    </row>
    <row r="776" spans="1:28" s="79" customFormat="1" ht="12.6" customHeight="1" x14ac:dyDescent="0.3">
      <c r="A776" s="102"/>
      <c r="B776" s="78"/>
      <c r="C776" s="78"/>
      <c r="D776" s="78"/>
      <c r="E776" s="78"/>
      <c r="F776" s="78"/>
      <c r="H776" s="78"/>
      <c r="I776" s="78"/>
      <c r="J776" s="78"/>
      <c r="K776" s="78"/>
      <c r="L776" s="78"/>
      <c r="M776" s="78"/>
      <c r="N776" s="78"/>
      <c r="O776" s="78"/>
      <c r="P776" s="78"/>
      <c r="Q776" s="78"/>
      <c r="R776" s="78"/>
      <c r="S776" s="78"/>
      <c r="T776" s="78"/>
      <c r="U776" s="78"/>
      <c r="V776" s="78"/>
      <c r="W776" s="78"/>
      <c r="X776" s="78"/>
      <c r="Y776" s="78"/>
      <c r="Z776" s="78"/>
      <c r="AA776" s="78"/>
      <c r="AB776" s="78"/>
    </row>
    <row r="777" spans="1:28" s="79" customFormat="1" ht="12.6" customHeight="1" x14ac:dyDescent="0.3">
      <c r="A777" s="102"/>
      <c r="B777" s="78"/>
      <c r="C777" s="78"/>
      <c r="D777" s="78"/>
      <c r="E777" s="78"/>
      <c r="F777" s="78"/>
      <c r="H777" s="78"/>
      <c r="I777" s="78"/>
      <c r="J777" s="78"/>
      <c r="K777" s="78"/>
      <c r="L777" s="78"/>
      <c r="M777" s="78"/>
      <c r="N777" s="78"/>
      <c r="O777" s="78"/>
      <c r="P777" s="78"/>
      <c r="Q777" s="78"/>
      <c r="R777" s="78"/>
      <c r="S777" s="78"/>
      <c r="T777" s="78"/>
      <c r="U777" s="78"/>
      <c r="V777" s="78"/>
      <c r="W777" s="78"/>
      <c r="X777" s="78"/>
      <c r="Y777" s="78"/>
      <c r="Z777" s="78"/>
      <c r="AA777" s="78"/>
      <c r="AB777" s="78"/>
    </row>
    <row r="778" spans="1:28" s="79" customFormat="1" ht="12.6" customHeight="1" x14ac:dyDescent="0.3">
      <c r="A778" s="102"/>
      <c r="B778" s="78"/>
      <c r="C778" s="78"/>
      <c r="D778" s="78"/>
      <c r="E778" s="78"/>
      <c r="F778" s="78"/>
      <c r="H778" s="78"/>
      <c r="I778" s="78"/>
      <c r="J778" s="78"/>
      <c r="K778" s="78"/>
      <c r="L778" s="78"/>
      <c r="M778" s="78"/>
      <c r="N778" s="78"/>
      <c r="O778" s="78"/>
      <c r="P778" s="78"/>
      <c r="Q778" s="78"/>
      <c r="R778" s="78"/>
      <c r="S778" s="78"/>
      <c r="T778" s="78"/>
      <c r="U778" s="78"/>
      <c r="V778" s="78"/>
      <c r="W778" s="78"/>
      <c r="X778" s="78"/>
      <c r="Y778" s="78"/>
      <c r="Z778" s="78"/>
      <c r="AA778" s="78"/>
      <c r="AB778" s="78"/>
    </row>
    <row r="779" spans="1:28" s="79" customFormat="1" ht="12.6" customHeight="1" x14ac:dyDescent="0.3">
      <c r="A779" s="102"/>
      <c r="B779" s="78"/>
      <c r="C779" s="78"/>
      <c r="D779" s="78"/>
      <c r="E779" s="78"/>
      <c r="F779" s="78"/>
      <c r="H779" s="78"/>
      <c r="I779" s="78"/>
      <c r="J779" s="78"/>
      <c r="K779" s="78"/>
      <c r="L779" s="78"/>
      <c r="M779" s="78"/>
      <c r="N779" s="78"/>
      <c r="O779" s="78"/>
      <c r="P779" s="78"/>
      <c r="Q779" s="78"/>
      <c r="R779" s="78"/>
      <c r="S779" s="78"/>
      <c r="T779" s="78"/>
      <c r="U779" s="78"/>
      <c r="V779" s="78"/>
      <c r="W779" s="78"/>
      <c r="X779" s="78"/>
      <c r="Y779" s="78"/>
      <c r="Z779" s="78"/>
      <c r="AA779" s="78"/>
      <c r="AB779" s="78"/>
    </row>
    <row r="780" spans="1:28" s="79" customFormat="1" ht="12.6" customHeight="1" x14ac:dyDescent="0.3">
      <c r="A780" s="102"/>
      <c r="B780" s="78"/>
      <c r="C780" s="78"/>
      <c r="D780" s="78"/>
      <c r="E780" s="78"/>
      <c r="F780" s="78"/>
      <c r="H780" s="78"/>
      <c r="I780" s="78"/>
      <c r="J780" s="78"/>
      <c r="K780" s="78"/>
      <c r="L780" s="78"/>
      <c r="M780" s="78"/>
      <c r="N780" s="78"/>
      <c r="O780" s="78"/>
      <c r="P780" s="78"/>
      <c r="Q780" s="78"/>
      <c r="R780" s="78"/>
      <c r="S780" s="78"/>
      <c r="T780" s="78"/>
      <c r="U780" s="78"/>
      <c r="V780" s="78"/>
      <c r="W780" s="78"/>
      <c r="X780" s="78"/>
      <c r="Y780" s="78"/>
      <c r="Z780" s="78"/>
      <c r="AA780" s="78"/>
      <c r="AB780" s="78"/>
    </row>
    <row r="781" spans="1:28" s="79" customFormat="1" ht="12.6" customHeight="1" x14ac:dyDescent="0.3">
      <c r="A781" s="102"/>
      <c r="B781" s="78"/>
      <c r="C781" s="78"/>
      <c r="D781" s="78"/>
      <c r="E781" s="78"/>
      <c r="F781" s="78"/>
      <c r="H781" s="78"/>
      <c r="I781" s="78"/>
      <c r="J781" s="78"/>
      <c r="K781" s="78"/>
      <c r="L781" s="78"/>
      <c r="M781" s="78"/>
      <c r="N781" s="78"/>
      <c r="O781" s="78"/>
      <c r="P781" s="78"/>
      <c r="Q781" s="78"/>
      <c r="R781" s="78"/>
      <c r="S781" s="78"/>
      <c r="T781" s="78"/>
      <c r="U781" s="78"/>
      <c r="V781" s="78"/>
      <c r="W781" s="78"/>
      <c r="X781" s="78"/>
      <c r="Y781" s="78"/>
      <c r="Z781" s="78"/>
      <c r="AA781" s="78"/>
      <c r="AB781" s="78"/>
    </row>
    <row r="782" spans="1:28" s="79" customFormat="1" ht="12.6" customHeight="1" x14ac:dyDescent="0.3">
      <c r="A782" s="102"/>
      <c r="B782" s="78"/>
      <c r="C782" s="78"/>
      <c r="D782" s="78"/>
      <c r="E782" s="78"/>
      <c r="F782" s="78"/>
      <c r="H782" s="78"/>
      <c r="I782" s="78"/>
      <c r="J782" s="78"/>
      <c r="K782" s="78"/>
      <c r="L782" s="78"/>
      <c r="M782" s="78"/>
      <c r="N782" s="78"/>
      <c r="O782" s="78"/>
      <c r="P782" s="78"/>
      <c r="Q782" s="78"/>
      <c r="R782" s="78"/>
      <c r="S782" s="78"/>
      <c r="T782" s="78"/>
      <c r="U782" s="78"/>
      <c r="V782" s="78"/>
      <c r="W782" s="78"/>
      <c r="X782" s="78"/>
      <c r="Y782" s="78"/>
      <c r="Z782" s="78"/>
      <c r="AA782" s="78"/>
      <c r="AB782" s="78"/>
    </row>
    <row r="783" spans="1:28" s="79" customFormat="1" ht="12.6" customHeight="1" x14ac:dyDescent="0.3">
      <c r="A783" s="102"/>
      <c r="B783" s="78"/>
      <c r="C783" s="78"/>
      <c r="D783" s="78"/>
      <c r="E783" s="78"/>
      <c r="F783" s="78"/>
      <c r="H783" s="78"/>
      <c r="I783" s="78"/>
      <c r="J783" s="78"/>
      <c r="K783" s="78"/>
      <c r="L783" s="78"/>
      <c r="M783" s="78"/>
      <c r="N783" s="78"/>
      <c r="O783" s="78"/>
      <c r="P783" s="78"/>
      <c r="Q783" s="78"/>
      <c r="R783" s="78"/>
      <c r="S783" s="78"/>
      <c r="T783" s="78"/>
      <c r="U783" s="78"/>
      <c r="V783" s="78"/>
      <c r="W783" s="78"/>
      <c r="X783" s="78"/>
      <c r="Y783" s="78"/>
      <c r="Z783" s="78"/>
      <c r="AA783" s="78"/>
      <c r="AB783" s="78"/>
    </row>
    <row r="784" spans="1:28" s="79" customFormat="1" ht="12.6" customHeight="1" x14ac:dyDescent="0.3">
      <c r="A784" s="102"/>
      <c r="B784" s="78"/>
      <c r="C784" s="78"/>
      <c r="D784" s="78"/>
      <c r="E784" s="78"/>
      <c r="F784" s="78"/>
      <c r="H784" s="78"/>
      <c r="I784" s="78"/>
      <c r="J784" s="78"/>
      <c r="K784" s="78"/>
      <c r="L784" s="78"/>
      <c r="M784" s="78"/>
      <c r="N784" s="78"/>
      <c r="O784" s="78"/>
      <c r="P784" s="78"/>
      <c r="Q784" s="78"/>
      <c r="R784" s="78"/>
      <c r="S784" s="78"/>
      <c r="T784" s="78"/>
      <c r="U784" s="78"/>
      <c r="V784" s="78"/>
      <c r="W784" s="78"/>
      <c r="X784" s="78"/>
      <c r="Y784" s="78"/>
      <c r="Z784" s="78"/>
      <c r="AA784" s="78"/>
      <c r="AB784" s="78"/>
    </row>
    <row r="785" spans="1:28" s="79" customFormat="1" ht="12.6" customHeight="1" x14ac:dyDescent="0.3">
      <c r="A785" s="102"/>
      <c r="B785" s="78"/>
      <c r="C785" s="78"/>
      <c r="D785" s="78"/>
      <c r="E785" s="78"/>
      <c r="F785" s="78"/>
      <c r="H785" s="78"/>
      <c r="I785" s="78"/>
      <c r="J785" s="78"/>
      <c r="K785" s="78"/>
      <c r="L785" s="78"/>
      <c r="M785" s="78"/>
      <c r="N785" s="78"/>
      <c r="O785" s="78"/>
      <c r="P785" s="78"/>
      <c r="Q785" s="78"/>
      <c r="R785" s="78"/>
      <c r="S785" s="78"/>
      <c r="T785" s="78"/>
      <c r="U785" s="78"/>
      <c r="V785" s="78"/>
      <c r="W785" s="78"/>
      <c r="X785" s="78"/>
      <c r="Y785" s="78"/>
      <c r="Z785" s="78"/>
      <c r="AA785" s="78"/>
      <c r="AB785" s="78"/>
    </row>
    <row r="786" spans="1:28" s="79" customFormat="1" ht="12.6" customHeight="1" x14ac:dyDescent="0.3">
      <c r="A786" s="102"/>
      <c r="B786" s="78"/>
      <c r="C786" s="78"/>
      <c r="D786" s="78"/>
      <c r="E786" s="78"/>
      <c r="F786" s="78"/>
      <c r="H786" s="78"/>
      <c r="I786" s="78"/>
      <c r="J786" s="78"/>
      <c r="K786" s="78"/>
      <c r="L786" s="78"/>
      <c r="M786" s="78"/>
      <c r="N786" s="78"/>
      <c r="O786" s="78"/>
      <c r="P786" s="78"/>
      <c r="Q786" s="78"/>
      <c r="R786" s="78"/>
      <c r="S786" s="78"/>
      <c r="T786" s="78"/>
      <c r="U786" s="78"/>
      <c r="V786" s="78"/>
      <c r="W786" s="78"/>
      <c r="X786" s="78"/>
      <c r="Y786" s="78"/>
      <c r="Z786" s="78"/>
      <c r="AA786" s="78"/>
      <c r="AB786" s="78"/>
    </row>
    <row r="787" spans="1:28" s="79" customFormat="1" ht="12.6" customHeight="1" x14ac:dyDescent="0.3">
      <c r="A787" s="102"/>
      <c r="B787" s="78"/>
      <c r="C787" s="78"/>
      <c r="D787" s="78"/>
      <c r="E787" s="78"/>
      <c r="F787" s="78"/>
      <c r="H787" s="78"/>
      <c r="I787" s="78"/>
      <c r="J787" s="78"/>
      <c r="K787" s="78"/>
      <c r="L787" s="78"/>
      <c r="M787" s="78"/>
      <c r="N787" s="78"/>
      <c r="O787" s="78"/>
      <c r="P787" s="78"/>
      <c r="Q787" s="78"/>
      <c r="R787" s="78"/>
      <c r="S787" s="78"/>
      <c r="T787" s="78"/>
      <c r="U787" s="78"/>
      <c r="V787" s="78"/>
      <c r="W787" s="78"/>
      <c r="X787" s="78"/>
      <c r="Y787" s="78"/>
      <c r="Z787" s="78"/>
      <c r="AA787" s="78"/>
      <c r="AB787" s="78"/>
    </row>
    <row r="788" spans="1:28" s="79" customFormat="1" ht="12.6" customHeight="1" x14ac:dyDescent="0.3">
      <c r="A788" s="102"/>
      <c r="B788" s="78"/>
      <c r="C788" s="78"/>
      <c r="D788" s="78"/>
      <c r="E788" s="78"/>
      <c r="F788" s="78"/>
      <c r="H788" s="78"/>
      <c r="I788" s="78"/>
      <c r="J788" s="78"/>
      <c r="K788" s="78"/>
      <c r="L788" s="78"/>
      <c r="M788" s="78"/>
      <c r="N788" s="78"/>
      <c r="O788" s="78"/>
      <c r="P788" s="78"/>
      <c r="Q788" s="78"/>
      <c r="R788" s="78"/>
      <c r="S788" s="78"/>
      <c r="T788" s="78"/>
      <c r="U788" s="78"/>
      <c r="V788" s="78"/>
      <c r="W788" s="78"/>
      <c r="X788" s="78"/>
      <c r="Y788" s="78"/>
      <c r="Z788" s="78"/>
      <c r="AA788" s="78"/>
      <c r="AB788" s="78"/>
    </row>
    <row r="789" spans="1:28" s="79" customFormat="1" ht="12.6" customHeight="1" x14ac:dyDescent="0.3">
      <c r="A789" s="102"/>
      <c r="B789" s="78"/>
      <c r="C789" s="78"/>
      <c r="D789" s="78"/>
      <c r="E789" s="78"/>
      <c r="F789" s="78"/>
      <c r="H789" s="78"/>
      <c r="I789" s="78"/>
      <c r="J789" s="78"/>
      <c r="K789" s="78"/>
      <c r="L789" s="78"/>
      <c r="M789" s="78"/>
      <c r="N789" s="78"/>
      <c r="O789" s="78"/>
      <c r="P789" s="78"/>
      <c r="Q789" s="78"/>
      <c r="R789" s="78"/>
      <c r="S789" s="78"/>
      <c r="T789" s="78"/>
      <c r="U789" s="78"/>
      <c r="V789" s="78"/>
      <c r="W789" s="78"/>
      <c r="X789" s="78"/>
      <c r="Y789" s="78"/>
      <c r="Z789" s="78"/>
      <c r="AA789" s="78"/>
      <c r="AB789" s="78"/>
    </row>
    <row r="790" spans="1:28" s="79" customFormat="1" ht="12.6" customHeight="1" x14ac:dyDescent="0.3">
      <c r="A790" s="102"/>
      <c r="B790" s="78"/>
      <c r="C790" s="78"/>
      <c r="D790" s="78"/>
      <c r="E790" s="78"/>
      <c r="F790" s="78"/>
      <c r="H790" s="78"/>
      <c r="I790" s="78"/>
      <c r="J790" s="78"/>
      <c r="K790" s="78"/>
      <c r="L790" s="78"/>
      <c r="M790" s="78"/>
      <c r="N790" s="78"/>
      <c r="O790" s="78"/>
      <c r="P790" s="78"/>
      <c r="Q790" s="78"/>
      <c r="R790" s="78"/>
      <c r="S790" s="78"/>
      <c r="T790" s="78"/>
      <c r="U790" s="78"/>
      <c r="V790" s="78"/>
      <c r="W790" s="78"/>
      <c r="X790" s="78"/>
      <c r="Y790" s="78"/>
      <c r="Z790" s="78"/>
      <c r="AA790" s="78"/>
      <c r="AB790" s="78"/>
    </row>
    <row r="791" spans="1:28" s="79" customFormat="1" ht="12.6" customHeight="1" x14ac:dyDescent="0.3">
      <c r="A791" s="102"/>
      <c r="B791" s="78"/>
      <c r="C791" s="78"/>
      <c r="D791" s="78"/>
      <c r="E791" s="78"/>
      <c r="F791" s="78"/>
      <c r="H791" s="78"/>
      <c r="I791" s="78"/>
      <c r="J791" s="78"/>
      <c r="K791" s="78"/>
      <c r="L791" s="78"/>
      <c r="M791" s="78"/>
      <c r="N791" s="78"/>
      <c r="O791" s="78"/>
      <c r="P791" s="78"/>
      <c r="Q791" s="78"/>
      <c r="R791" s="78"/>
      <c r="S791" s="78"/>
      <c r="T791" s="78"/>
      <c r="U791" s="78"/>
      <c r="V791" s="78"/>
      <c r="W791" s="78"/>
      <c r="X791" s="78"/>
      <c r="Y791" s="78"/>
      <c r="Z791" s="78"/>
      <c r="AA791" s="78"/>
      <c r="AB791" s="78"/>
    </row>
    <row r="792" spans="1:28" s="79" customFormat="1" ht="12.6" customHeight="1" x14ac:dyDescent="0.3">
      <c r="A792" s="102"/>
      <c r="B792" s="78"/>
      <c r="C792" s="78"/>
      <c r="D792" s="78"/>
      <c r="E792" s="78"/>
      <c r="F792" s="78"/>
      <c r="H792" s="78"/>
      <c r="I792" s="78"/>
      <c r="J792" s="78"/>
      <c r="K792" s="78"/>
      <c r="L792" s="78"/>
      <c r="M792" s="78"/>
      <c r="N792" s="78"/>
      <c r="O792" s="78"/>
      <c r="P792" s="78"/>
      <c r="Q792" s="78"/>
      <c r="R792" s="78"/>
      <c r="S792" s="78"/>
      <c r="T792" s="78"/>
      <c r="U792" s="78"/>
      <c r="V792" s="78"/>
      <c r="W792" s="78"/>
      <c r="X792" s="78"/>
      <c r="Y792" s="78"/>
      <c r="Z792" s="78"/>
      <c r="AA792" s="78"/>
      <c r="AB792" s="78"/>
    </row>
    <row r="793" spans="1:28" s="79" customFormat="1" ht="12.6" customHeight="1" x14ac:dyDescent="0.3">
      <c r="A793" s="102"/>
      <c r="B793" s="78"/>
      <c r="C793" s="78"/>
      <c r="D793" s="78"/>
      <c r="E793" s="78"/>
      <c r="F793" s="78"/>
      <c r="H793" s="78"/>
      <c r="I793" s="78"/>
      <c r="J793" s="78"/>
      <c r="K793" s="78"/>
      <c r="L793" s="78"/>
      <c r="M793" s="78"/>
      <c r="N793" s="78"/>
      <c r="O793" s="78"/>
      <c r="P793" s="78"/>
      <c r="Q793" s="78"/>
      <c r="R793" s="78"/>
      <c r="S793" s="78"/>
      <c r="T793" s="78"/>
      <c r="U793" s="78"/>
      <c r="V793" s="78"/>
      <c r="W793" s="78"/>
      <c r="X793" s="78"/>
      <c r="Y793" s="78"/>
      <c r="Z793" s="78"/>
      <c r="AA793" s="78"/>
      <c r="AB793" s="78"/>
    </row>
    <row r="794" spans="1:28" s="79" customFormat="1" ht="12.6" customHeight="1" x14ac:dyDescent="0.3">
      <c r="A794" s="102"/>
      <c r="B794" s="78"/>
      <c r="C794" s="78"/>
      <c r="D794" s="78"/>
      <c r="E794" s="78"/>
      <c r="F794" s="78"/>
      <c r="H794" s="78"/>
      <c r="I794" s="78"/>
      <c r="J794" s="78"/>
      <c r="K794" s="78"/>
      <c r="L794" s="78"/>
      <c r="M794" s="78"/>
      <c r="N794" s="78"/>
      <c r="O794" s="78"/>
      <c r="P794" s="78"/>
      <c r="Q794" s="78"/>
      <c r="R794" s="78"/>
      <c r="S794" s="78"/>
      <c r="T794" s="78"/>
      <c r="U794" s="78"/>
      <c r="V794" s="78"/>
      <c r="W794" s="78"/>
      <c r="X794" s="78"/>
      <c r="Y794" s="78"/>
      <c r="Z794" s="78"/>
      <c r="AA794" s="78"/>
      <c r="AB794" s="78"/>
    </row>
    <row r="795" spans="1:28" s="79" customFormat="1" ht="12.6" customHeight="1" x14ac:dyDescent="0.3">
      <c r="A795" s="102"/>
      <c r="B795" s="78"/>
      <c r="C795" s="78"/>
      <c r="D795" s="78"/>
      <c r="E795" s="78"/>
      <c r="F795" s="78"/>
      <c r="H795" s="78"/>
      <c r="I795" s="78"/>
      <c r="J795" s="78"/>
      <c r="K795" s="78"/>
      <c r="L795" s="78"/>
      <c r="M795" s="78"/>
      <c r="N795" s="78"/>
      <c r="O795" s="78"/>
      <c r="P795" s="78"/>
      <c r="Q795" s="78"/>
      <c r="R795" s="78"/>
      <c r="S795" s="78"/>
      <c r="T795" s="78"/>
      <c r="U795" s="78"/>
      <c r="V795" s="78"/>
      <c r="W795" s="78"/>
      <c r="X795" s="78"/>
      <c r="Y795" s="78"/>
      <c r="Z795" s="78"/>
      <c r="AA795" s="78"/>
      <c r="AB795" s="78"/>
    </row>
    <row r="796" spans="1:28" s="79" customFormat="1" ht="12.6" customHeight="1" x14ac:dyDescent="0.3">
      <c r="A796" s="102"/>
      <c r="B796" s="78"/>
      <c r="C796" s="78"/>
      <c r="D796" s="78"/>
      <c r="E796" s="78"/>
      <c r="F796" s="78"/>
      <c r="H796" s="78"/>
      <c r="I796" s="78"/>
      <c r="J796" s="78"/>
      <c r="K796" s="78"/>
      <c r="L796" s="78"/>
      <c r="M796" s="78"/>
      <c r="N796" s="78"/>
      <c r="O796" s="78"/>
      <c r="P796" s="78"/>
      <c r="Q796" s="78"/>
      <c r="R796" s="78"/>
      <c r="S796" s="78"/>
      <c r="T796" s="78"/>
      <c r="U796" s="78"/>
      <c r="V796" s="78"/>
      <c r="W796" s="78"/>
      <c r="X796" s="78"/>
      <c r="Y796" s="78"/>
      <c r="Z796" s="78"/>
      <c r="AA796" s="78"/>
      <c r="AB796" s="78"/>
    </row>
    <row r="797" spans="1:28" s="79" customFormat="1" ht="12.6" customHeight="1" x14ac:dyDescent="0.3">
      <c r="A797" s="102"/>
      <c r="B797" s="78"/>
      <c r="C797" s="78"/>
      <c r="D797" s="78"/>
      <c r="E797" s="78"/>
      <c r="F797" s="78"/>
      <c r="H797" s="78"/>
      <c r="I797" s="78"/>
      <c r="J797" s="78"/>
      <c r="K797" s="78"/>
      <c r="L797" s="78"/>
      <c r="M797" s="78"/>
      <c r="N797" s="78"/>
      <c r="O797" s="78"/>
      <c r="P797" s="78"/>
      <c r="Q797" s="78"/>
      <c r="R797" s="78"/>
      <c r="S797" s="78"/>
      <c r="T797" s="78"/>
      <c r="U797" s="78"/>
      <c r="V797" s="78"/>
      <c r="W797" s="78"/>
      <c r="X797" s="78"/>
      <c r="Y797" s="78"/>
      <c r="Z797" s="78"/>
      <c r="AA797" s="78"/>
      <c r="AB797" s="78"/>
    </row>
    <row r="798" spans="1:28" s="79" customFormat="1" ht="12.6" customHeight="1" x14ac:dyDescent="0.3">
      <c r="A798" s="102"/>
      <c r="B798" s="78"/>
      <c r="C798" s="78"/>
      <c r="D798" s="78"/>
      <c r="E798" s="78"/>
      <c r="F798" s="78"/>
      <c r="H798" s="78"/>
      <c r="I798" s="78"/>
      <c r="J798" s="78"/>
      <c r="K798" s="78"/>
      <c r="L798" s="78"/>
      <c r="M798" s="78"/>
      <c r="N798" s="78"/>
      <c r="O798" s="78"/>
      <c r="P798" s="78"/>
      <c r="Q798" s="78"/>
      <c r="R798" s="78"/>
      <c r="S798" s="78"/>
      <c r="T798" s="78"/>
      <c r="U798" s="78"/>
      <c r="V798" s="78"/>
      <c r="W798" s="78"/>
      <c r="X798" s="78"/>
      <c r="Y798" s="78"/>
      <c r="Z798" s="78"/>
      <c r="AA798" s="78"/>
      <c r="AB798" s="78"/>
    </row>
    <row r="799" spans="1:28" s="79" customFormat="1" ht="12.6" customHeight="1" x14ac:dyDescent="0.3">
      <c r="A799" s="102"/>
      <c r="B799" s="78"/>
      <c r="C799" s="78"/>
      <c r="D799" s="78"/>
      <c r="E799" s="78"/>
      <c r="F799" s="78"/>
      <c r="H799" s="78"/>
      <c r="I799" s="78"/>
      <c r="J799" s="78"/>
      <c r="K799" s="78"/>
      <c r="L799" s="78"/>
      <c r="M799" s="78"/>
      <c r="N799" s="78"/>
      <c r="O799" s="78"/>
      <c r="P799" s="78"/>
      <c r="Q799" s="78"/>
      <c r="R799" s="78"/>
      <c r="S799" s="78"/>
      <c r="T799" s="78"/>
      <c r="U799" s="78"/>
      <c r="V799" s="78"/>
      <c r="W799" s="78"/>
      <c r="X799" s="78"/>
      <c r="Y799" s="78"/>
      <c r="Z799" s="78"/>
      <c r="AA799" s="78"/>
      <c r="AB799" s="78"/>
    </row>
    <row r="800" spans="1:28" s="79" customFormat="1" ht="12.6" customHeight="1" x14ac:dyDescent="0.3">
      <c r="A800" s="102"/>
      <c r="B800" s="78"/>
      <c r="C800" s="78"/>
      <c r="D800" s="78"/>
      <c r="E800" s="78"/>
      <c r="F800" s="78"/>
      <c r="H800" s="78"/>
      <c r="I800" s="78"/>
      <c r="J800" s="78"/>
      <c r="K800" s="78"/>
      <c r="L800" s="78"/>
      <c r="M800" s="78"/>
      <c r="N800" s="78"/>
      <c r="O800" s="78"/>
      <c r="P800" s="78"/>
      <c r="Q800" s="78"/>
      <c r="R800" s="78"/>
      <c r="S800" s="78"/>
      <c r="T800" s="78"/>
      <c r="U800" s="78"/>
      <c r="V800" s="78"/>
      <c r="W800" s="78"/>
      <c r="X800" s="78"/>
      <c r="Y800" s="78"/>
      <c r="Z800" s="78"/>
      <c r="AA800" s="78"/>
      <c r="AB800" s="78"/>
    </row>
    <row r="801" spans="1:28" s="79" customFormat="1" ht="12.6" customHeight="1" x14ac:dyDescent="0.3">
      <c r="A801" s="102"/>
      <c r="B801" s="78"/>
      <c r="C801" s="78"/>
      <c r="D801" s="78"/>
      <c r="E801" s="78"/>
      <c r="F801" s="78"/>
      <c r="H801" s="78"/>
      <c r="I801" s="78"/>
      <c r="J801" s="78"/>
      <c r="K801" s="78"/>
      <c r="L801" s="78"/>
      <c r="M801" s="78"/>
      <c r="N801" s="78"/>
      <c r="O801" s="78"/>
      <c r="P801" s="78"/>
      <c r="Q801" s="78"/>
      <c r="R801" s="78"/>
      <c r="S801" s="78"/>
      <c r="T801" s="78"/>
      <c r="U801" s="78"/>
      <c r="V801" s="78"/>
      <c r="W801" s="78"/>
      <c r="X801" s="78"/>
      <c r="Y801" s="78"/>
      <c r="Z801" s="78"/>
      <c r="AA801" s="78"/>
      <c r="AB801" s="78"/>
    </row>
    <row r="802" spans="1:28" s="79" customFormat="1" ht="12.6" customHeight="1" x14ac:dyDescent="0.3">
      <c r="A802" s="102"/>
      <c r="B802" s="78"/>
      <c r="C802" s="78"/>
      <c r="D802" s="78"/>
      <c r="E802" s="78"/>
      <c r="F802" s="78"/>
      <c r="H802" s="78"/>
      <c r="I802" s="78"/>
      <c r="J802" s="78"/>
      <c r="K802" s="78"/>
      <c r="L802" s="78"/>
      <c r="M802" s="78"/>
      <c r="N802" s="78"/>
      <c r="O802" s="78"/>
      <c r="P802" s="78"/>
      <c r="Q802" s="78"/>
      <c r="R802" s="78"/>
      <c r="S802" s="78"/>
      <c r="T802" s="78"/>
      <c r="U802" s="78"/>
      <c r="V802" s="78"/>
      <c r="W802" s="78"/>
      <c r="X802" s="78"/>
      <c r="Y802" s="78"/>
      <c r="Z802" s="78"/>
      <c r="AA802" s="78"/>
      <c r="AB802" s="78"/>
    </row>
    <row r="803" spans="1:28" s="79" customFormat="1" ht="12.6" customHeight="1" x14ac:dyDescent="0.3">
      <c r="A803" s="102"/>
      <c r="B803" s="78"/>
      <c r="C803" s="78"/>
      <c r="D803" s="78"/>
      <c r="E803" s="78"/>
      <c r="F803" s="78"/>
      <c r="H803" s="78"/>
      <c r="I803" s="78"/>
      <c r="J803" s="78"/>
      <c r="K803" s="78"/>
      <c r="L803" s="78"/>
      <c r="M803" s="78"/>
      <c r="N803" s="78"/>
      <c r="O803" s="78"/>
      <c r="P803" s="78"/>
      <c r="Q803" s="78"/>
      <c r="R803" s="78"/>
      <c r="S803" s="78"/>
      <c r="T803" s="78"/>
      <c r="U803" s="78"/>
      <c r="V803" s="78"/>
      <c r="W803" s="78"/>
      <c r="X803" s="78"/>
      <c r="Y803" s="78"/>
      <c r="Z803" s="78"/>
      <c r="AA803" s="78"/>
      <c r="AB803" s="78"/>
    </row>
    <row r="804" spans="1:28" s="79" customFormat="1" ht="12.6" customHeight="1" x14ac:dyDescent="0.3">
      <c r="A804" s="102"/>
      <c r="B804" s="78"/>
      <c r="C804" s="78"/>
      <c r="D804" s="78"/>
      <c r="E804" s="78"/>
      <c r="F804" s="78"/>
      <c r="H804" s="78"/>
      <c r="I804" s="78"/>
      <c r="J804" s="78"/>
      <c r="K804" s="78"/>
      <c r="L804" s="78"/>
      <c r="M804" s="78"/>
      <c r="N804" s="78"/>
      <c r="O804" s="78"/>
      <c r="P804" s="78"/>
      <c r="Q804" s="78"/>
      <c r="R804" s="78"/>
      <c r="S804" s="78"/>
      <c r="T804" s="78"/>
      <c r="U804" s="78"/>
      <c r="V804" s="78"/>
      <c r="W804" s="78"/>
      <c r="X804" s="78"/>
      <c r="Y804" s="78"/>
      <c r="Z804" s="78"/>
      <c r="AA804" s="78"/>
      <c r="AB804" s="78"/>
    </row>
    <row r="805" spans="1:28" s="79" customFormat="1" ht="12.6" customHeight="1" x14ac:dyDescent="0.3">
      <c r="A805" s="102"/>
      <c r="B805" s="78"/>
      <c r="C805" s="78"/>
      <c r="D805" s="78"/>
      <c r="E805" s="78"/>
      <c r="F805" s="78"/>
      <c r="H805" s="78"/>
      <c r="I805" s="78"/>
      <c r="J805" s="78"/>
      <c r="K805" s="78"/>
      <c r="L805" s="78"/>
      <c r="M805" s="78"/>
      <c r="N805" s="78"/>
      <c r="O805" s="78"/>
      <c r="P805" s="78"/>
      <c r="Q805" s="78"/>
      <c r="R805" s="78"/>
      <c r="S805" s="78"/>
      <c r="T805" s="78"/>
      <c r="U805" s="78"/>
      <c r="V805" s="78"/>
      <c r="W805" s="78"/>
      <c r="X805" s="78"/>
      <c r="Y805" s="78"/>
      <c r="Z805" s="78"/>
      <c r="AA805" s="78"/>
      <c r="AB805" s="78"/>
    </row>
    <row r="806" spans="1:28" s="79" customFormat="1" ht="12.6" customHeight="1" x14ac:dyDescent="0.3">
      <c r="A806" s="102"/>
      <c r="B806" s="78"/>
      <c r="C806" s="78"/>
      <c r="D806" s="78"/>
      <c r="E806" s="78"/>
      <c r="F806" s="78"/>
      <c r="H806" s="78"/>
      <c r="I806" s="78"/>
      <c r="J806" s="78"/>
      <c r="K806" s="78"/>
      <c r="L806" s="78"/>
      <c r="M806" s="78"/>
      <c r="N806" s="78"/>
      <c r="O806" s="78"/>
      <c r="P806" s="78"/>
      <c r="Q806" s="78"/>
      <c r="R806" s="78"/>
      <c r="S806" s="78"/>
      <c r="T806" s="78"/>
      <c r="U806" s="78"/>
      <c r="V806" s="78"/>
      <c r="W806" s="78"/>
      <c r="X806" s="78"/>
      <c r="Y806" s="78"/>
      <c r="Z806" s="78"/>
      <c r="AA806" s="78"/>
      <c r="AB806" s="78"/>
    </row>
    <row r="807" spans="1:28" s="79" customFormat="1" ht="12.6" customHeight="1" x14ac:dyDescent="0.3">
      <c r="A807" s="102"/>
      <c r="B807" s="78"/>
      <c r="C807" s="78"/>
      <c r="D807" s="78"/>
      <c r="E807" s="78"/>
      <c r="F807" s="78"/>
      <c r="H807" s="78"/>
      <c r="I807" s="78"/>
      <c r="J807" s="78"/>
      <c r="K807" s="78"/>
      <c r="L807" s="78"/>
      <c r="M807" s="78"/>
      <c r="N807" s="78"/>
      <c r="O807" s="78"/>
      <c r="P807" s="78"/>
      <c r="Q807" s="78"/>
      <c r="R807" s="78"/>
      <c r="S807" s="78"/>
      <c r="T807" s="78"/>
      <c r="U807" s="78"/>
      <c r="V807" s="78"/>
      <c r="W807" s="78"/>
      <c r="X807" s="78"/>
      <c r="Y807" s="78"/>
      <c r="Z807" s="78"/>
      <c r="AA807" s="78"/>
      <c r="AB807" s="78"/>
    </row>
    <row r="808" spans="1:28" s="79" customFormat="1" ht="12.6" customHeight="1" x14ac:dyDescent="0.3">
      <c r="A808" s="102"/>
      <c r="B808" s="78"/>
      <c r="C808" s="78"/>
      <c r="D808" s="78"/>
      <c r="E808" s="78"/>
      <c r="F808" s="78"/>
      <c r="H808" s="78"/>
      <c r="I808" s="78"/>
      <c r="J808" s="78"/>
      <c r="K808" s="78"/>
      <c r="L808" s="78"/>
      <c r="M808" s="78"/>
      <c r="N808" s="78"/>
      <c r="O808" s="78"/>
      <c r="P808" s="78"/>
      <c r="Q808" s="78"/>
      <c r="R808" s="78"/>
      <c r="S808" s="78"/>
      <c r="T808" s="78"/>
      <c r="U808" s="78"/>
      <c r="V808" s="78"/>
      <c r="W808" s="78"/>
      <c r="X808" s="78"/>
      <c r="Y808" s="78"/>
      <c r="Z808" s="78"/>
      <c r="AA808" s="78"/>
      <c r="AB808" s="78"/>
    </row>
    <row r="809" spans="1:28" s="79" customFormat="1" ht="12.6" customHeight="1" x14ac:dyDescent="0.3">
      <c r="A809" s="102"/>
      <c r="B809" s="78"/>
      <c r="C809" s="78"/>
      <c r="D809" s="78"/>
      <c r="E809" s="78"/>
      <c r="F809" s="78"/>
      <c r="H809" s="78"/>
      <c r="I809" s="78"/>
      <c r="J809" s="78"/>
      <c r="K809" s="78"/>
      <c r="L809" s="78"/>
      <c r="M809" s="78"/>
      <c r="N809" s="78"/>
      <c r="O809" s="78"/>
      <c r="P809" s="78"/>
      <c r="Q809" s="78"/>
      <c r="R809" s="78"/>
      <c r="S809" s="78"/>
      <c r="T809" s="78"/>
      <c r="U809" s="78"/>
      <c r="V809" s="78"/>
      <c r="W809" s="78"/>
      <c r="X809" s="78"/>
      <c r="Y809" s="78"/>
      <c r="Z809" s="78"/>
      <c r="AA809" s="78"/>
      <c r="AB809" s="78"/>
    </row>
    <row r="810" spans="1:28" s="79" customFormat="1" ht="12.6" customHeight="1" x14ac:dyDescent="0.3">
      <c r="A810" s="102"/>
      <c r="B810" s="78"/>
      <c r="C810" s="78"/>
      <c r="D810" s="78"/>
      <c r="E810" s="78"/>
      <c r="F810" s="78"/>
      <c r="H810" s="78"/>
      <c r="I810" s="78"/>
      <c r="J810" s="78"/>
      <c r="K810" s="78"/>
      <c r="L810" s="78"/>
      <c r="M810" s="78"/>
      <c r="N810" s="78"/>
      <c r="O810" s="78"/>
      <c r="P810" s="78"/>
      <c r="Q810" s="78"/>
      <c r="R810" s="78"/>
      <c r="S810" s="78"/>
      <c r="T810" s="78"/>
      <c r="U810" s="78"/>
      <c r="V810" s="78"/>
      <c r="W810" s="78"/>
      <c r="X810" s="78"/>
      <c r="Y810" s="78"/>
      <c r="Z810" s="78"/>
      <c r="AA810" s="78"/>
      <c r="AB810" s="78"/>
    </row>
    <row r="811" spans="1:28" s="79" customFormat="1" ht="12.6" customHeight="1" x14ac:dyDescent="0.3">
      <c r="A811" s="102"/>
      <c r="B811" s="78"/>
      <c r="C811" s="78"/>
      <c r="D811" s="78"/>
      <c r="E811" s="78"/>
      <c r="F811" s="78"/>
      <c r="H811" s="78"/>
      <c r="I811" s="78"/>
      <c r="J811" s="78"/>
      <c r="K811" s="78"/>
      <c r="L811" s="78"/>
      <c r="M811" s="78"/>
      <c r="N811" s="78"/>
      <c r="O811" s="78"/>
      <c r="P811" s="78"/>
      <c r="Q811" s="78"/>
      <c r="R811" s="78"/>
      <c r="S811" s="78"/>
      <c r="T811" s="78"/>
      <c r="U811" s="78"/>
      <c r="V811" s="78"/>
      <c r="W811" s="78"/>
      <c r="X811" s="78"/>
      <c r="Y811" s="78"/>
      <c r="Z811" s="78"/>
      <c r="AA811" s="78"/>
      <c r="AB811" s="78"/>
    </row>
    <row r="812" spans="1:28" s="79" customFormat="1" ht="12.6" customHeight="1" x14ac:dyDescent="0.3">
      <c r="A812" s="102"/>
      <c r="B812" s="78"/>
      <c r="C812" s="78"/>
      <c r="D812" s="78"/>
      <c r="E812" s="78"/>
      <c r="F812" s="78"/>
      <c r="H812" s="78"/>
      <c r="I812" s="78"/>
      <c r="J812" s="78"/>
      <c r="K812" s="78"/>
      <c r="L812" s="78"/>
      <c r="M812" s="78"/>
      <c r="N812" s="78"/>
      <c r="O812" s="78"/>
      <c r="P812" s="78"/>
      <c r="Q812" s="78"/>
      <c r="R812" s="78"/>
      <c r="S812" s="78"/>
      <c r="T812" s="78"/>
      <c r="U812" s="78"/>
      <c r="V812" s="78"/>
      <c r="W812" s="78"/>
      <c r="X812" s="78"/>
      <c r="Y812" s="78"/>
      <c r="Z812" s="78"/>
      <c r="AA812" s="78"/>
      <c r="AB812" s="78"/>
    </row>
    <row r="813" spans="1:28" s="79" customFormat="1" ht="12.6" customHeight="1" x14ac:dyDescent="0.3">
      <c r="A813" s="102"/>
      <c r="B813" s="78"/>
      <c r="C813" s="78"/>
      <c r="D813" s="78"/>
      <c r="E813" s="78"/>
      <c r="F813" s="78"/>
      <c r="H813" s="78"/>
      <c r="I813" s="78"/>
      <c r="J813" s="78"/>
      <c r="K813" s="78"/>
      <c r="L813" s="78"/>
      <c r="M813" s="78"/>
      <c r="N813" s="78"/>
      <c r="O813" s="78"/>
      <c r="P813" s="78"/>
      <c r="Q813" s="78"/>
      <c r="R813" s="78"/>
      <c r="S813" s="78"/>
      <c r="T813" s="78"/>
      <c r="U813" s="78"/>
      <c r="V813" s="78"/>
      <c r="W813" s="78"/>
      <c r="X813" s="78"/>
      <c r="Y813" s="78"/>
      <c r="Z813" s="78"/>
      <c r="AA813" s="78"/>
      <c r="AB813" s="78"/>
    </row>
    <row r="814" spans="1:28" s="79" customFormat="1" ht="12.6" customHeight="1" x14ac:dyDescent="0.3">
      <c r="A814" s="102"/>
      <c r="B814" s="78"/>
      <c r="C814" s="78"/>
      <c r="D814" s="78"/>
      <c r="E814" s="78"/>
      <c r="F814" s="78"/>
      <c r="H814" s="78"/>
      <c r="I814" s="78"/>
      <c r="J814" s="78"/>
      <c r="K814" s="78"/>
      <c r="L814" s="78"/>
      <c r="M814" s="78"/>
      <c r="N814" s="78"/>
      <c r="O814" s="78"/>
      <c r="P814" s="78"/>
      <c r="Q814" s="78"/>
      <c r="R814" s="78"/>
      <c r="S814" s="78"/>
      <c r="T814" s="78"/>
      <c r="U814" s="78"/>
      <c r="V814" s="78"/>
      <c r="W814" s="78"/>
      <c r="X814" s="78"/>
      <c r="Y814" s="78"/>
      <c r="Z814" s="78"/>
      <c r="AA814" s="78"/>
      <c r="AB814" s="78"/>
    </row>
    <row r="815" spans="1:28" s="79" customFormat="1" ht="12.6" customHeight="1" x14ac:dyDescent="0.3">
      <c r="A815" s="102"/>
      <c r="B815" s="78"/>
      <c r="C815" s="78"/>
      <c r="D815" s="78"/>
      <c r="E815" s="78"/>
      <c r="F815" s="78"/>
      <c r="H815" s="78"/>
      <c r="I815" s="78"/>
      <c r="J815" s="78"/>
      <c r="K815" s="78"/>
      <c r="L815" s="78"/>
      <c r="M815" s="78"/>
      <c r="N815" s="78"/>
      <c r="O815" s="78"/>
      <c r="P815" s="78"/>
      <c r="Q815" s="78"/>
      <c r="R815" s="78"/>
      <c r="S815" s="78"/>
      <c r="T815" s="78"/>
      <c r="U815" s="78"/>
      <c r="V815" s="78"/>
      <c r="W815" s="78"/>
      <c r="X815" s="78"/>
      <c r="Y815" s="78"/>
      <c r="Z815" s="78"/>
      <c r="AA815" s="78"/>
      <c r="AB815" s="78"/>
    </row>
    <row r="816" spans="1:28" s="79" customFormat="1" ht="12.6" customHeight="1" x14ac:dyDescent="0.3">
      <c r="A816" s="102"/>
      <c r="B816" s="78"/>
      <c r="C816" s="78"/>
      <c r="D816" s="78"/>
      <c r="E816" s="78"/>
      <c r="F816" s="78"/>
      <c r="H816" s="78"/>
      <c r="I816" s="78"/>
      <c r="J816" s="78"/>
      <c r="K816" s="78"/>
      <c r="L816" s="78"/>
      <c r="M816" s="78"/>
      <c r="N816" s="78"/>
      <c r="O816" s="78"/>
      <c r="P816" s="78"/>
      <c r="Q816" s="78"/>
      <c r="R816" s="78"/>
      <c r="S816" s="78"/>
      <c r="T816" s="78"/>
      <c r="U816" s="78"/>
      <c r="V816" s="78"/>
      <c r="W816" s="78"/>
      <c r="X816" s="78"/>
      <c r="Y816" s="78"/>
      <c r="Z816" s="78"/>
      <c r="AA816" s="78"/>
      <c r="AB816" s="78"/>
    </row>
    <row r="817" spans="1:28" s="79" customFormat="1" ht="12.6" customHeight="1" x14ac:dyDescent="0.3">
      <c r="A817" s="102"/>
      <c r="B817" s="78"/>
      <c r="C817" s="78"/>
      <c r="D817" s="78"/>
      <c r="E817" s="78"/>
      <c r="F817" s="78"/>
      <c r="H817" s="78"/>
      <c r="I817" s="78"/>
      <c r="J817" s="78"/>
      <c r="K817" s="78"/>
      <c r="L817" s="78"/>
      <c r="M817" s="78"/>
      <c r="N817" s="78"/>
      <c r="O817" s="78"/>
      <c r="P817" s="78"/>
      <c r="Q817" s="78"/>
      <c r="R817" s="78"/>
      <c r="S817" s="78"/>
      <c r="T817" s="78"/>
      <c r="U817" s="78"/>
      <c r="V817" s="78"/>
      <c r="W817" s="78"/>
      <c r="X817" s="78"/>
      <c r="Y817" s="78"/>
      <c r="Z817" s="78"/>
      <c r="AA817" s="78"/>
      <c r="AB817" s="78"/>
    </row>
    <row r="818" spans="1:28" s="79" customFormat="1" ht="12.6" customHeight="1" x14ac:dyDescent="0.3">
      <c r="A818" s="102"/>
      <c r="B818" s="78"/>
      <c r="C818" s="78"/>
      <c r="D818" s="78"/>
      <c r="E818" s="78"/>
      <c r="F818" s="78"/>
      <c r="H818" s="78"/>
      <c r="I818" s="78"/>
      <c r="J818" s="78"/>
      <c r="K818" s="78"/>
      <c r="L818" s="78"/>
      <c r="M818" s="78"/>
      <c r="N818" s="78"/>
      <c r="O818" s="78"/>
      <c r="P818" s="78"/>
      <c r="Q818" s="78"/>
      <c r="R818" s="78"/>
      <c r="S818" s="78"/>
      <c r="T818" s="78"/>
      <c r="U818" s="78"/>
      <c r="V818" s="78"/>
      <c r="W818" s="78"/>
      <c r="X818" s="78"/>
      <c r="Y818" s="78"/>
      <c r="Z818" s="78"/>
      <c r="AA818" s="78"/>
      <c r="AB818" s="78"/>
    </row>
    <row r="819" spans="1:28" s="79" customFormat="1" ht="12.6" customHeight="1" x14ac:dyDescent="0.3">
      <c r="A819" s="102"/>
      <c r="B819" s="78"/>
      <c r="C819" s="78"/>
      <c r="D819" s="78"/>
      <c r="E819" s="78"/>
      <c r="F819" s="78"/>
      <c r="H819" s="78"/>
      <c r="I819" s="78"/>
      <c r="J819" s="78"/>
      <c r="K819" s="78"/>
      <c r="L819" s="78"/>
      <c r="M819" s="78"/>
      <c r="N819" s="78"/>
      <c r="O819" s="78"/>
      <c r="P819" s="78"/>
      <c r="Q819" s="78"/>
      <c r="R819" s="78"/>
      <c r="S819" s="78"/>
      <c r="T819" s="78"/>
      <c r="U819" s="78"/>
      <c r="V819" s="78"/>
      <c r="W819" s="78"/>
      <c r="X819" s="78"/>
      <c r="Y819" s="78"/>
      <c r="Z819" s="78"/>
      <c r="AA819" s="78"/>
      <c r="AB819" s="78"/>
    </row>
    <row r="820" spans="1:28" s="79" customFormat="1" ht="12.6" customHeight="1" x14ac:dyDescent="0.3">
      <c r="A820" s="102"/>
      <c r="B820" s="78"/>
      <c r="C820" s="78"/>
      <c r="D820" s="78"/>
      <c r="E820" s="78"/>
      <c r="F820" s="78"/>
      <c r="H820" s="78"/>
      <c r="I820" s="78"/>
      <c r="J820" s="78"/>
      <c r="K820" s="78"/>
      <c r="L820" s="78"/>
      <c r="M820" s="78"/>
      <c r="N820" s="78"/>
      <c r="O820" s="78"/>
      <c r="P820" s="78"/>
      <c r="Q820" s="78"/>
      <c r="R820" s="78"/>
      <c r="S820" s="78"/>
      <c r="T820" s="78"/>
      <c r="U820" s="78"/>
      <c r="V820" s="78"/>
      <c r="W820" s="78"/>
      <c r="X820" s="78"/>
      <c r="Y820" s="78"/>
      <c r="Z820" s="78"/>
      <c r="AA820" s="78"/>
      <c r="AB820" s="78"/>
    </row>
    <row r="821" spans="1:28" s="79" customFormat="1" ht="12.6" customHeight="1" x14ac:dyDescent="0.3">
      <c r="A821" s="102"/>
      <c r="B821" s="78"/>
      <c r="C821" s="78"/>
      <c r="D821" s="78"/>
      <c r="E821" s="78"/>
      <c r="F821" s="78"/>
      <c r="H821" s="78"/>
      <c r="I821" s="78"/>
      <c r="J821" s="78"/>
      <c r="K821" s="78"/>
      <c r="L821" s="78"/>
      <c r="M821" s="78"/>
      <c r="N821" s="78"/>
      <c r="O821" s="78"/>
      <c r="P821" s="78"/>
      <c r="Q821" s="78"/>
      <c r="R821" s="78"/>
      <c r="S821" s="78"/>
      <c r="T821" s="78"/>
      <c r="U821" s="78"/>
      <c r="V821" s="78"/>
      <c r="W821" s="78"/>
      <c r="X821" s="78"/>
      <c r="Y821" s="78"/>
      <c r="Z821" s="78"/>
      <c r="AA821" s="78"/>
      <c r="AB821" s="78"/>
    </row>
    <row r="822" spans="1:28" s="79" customFormat="1" ht="12.6" customHeight="1" x14ac:dyDescent="0.3">
      <c r="A822" s="102"/>
      <c r="B822" s="78"/>
      <c r="C822" s="78"/>
      <c r="D822" s="78"/>
      <c r="E822" s="78"/>
      <c r="F822" s="78"/>
      <c r="H822" s="78"/>
      <c r="I822" s="78"/>
      <c r="J822" s="78"/>
      <c r="K822" s="78"/>
      <c r="L822" s="78"/>
      <c r="M822" s="78"/>
      <c r="N822" s="78"/>
      <c r="O822" s="78"/>
      <c r="P822" s="78"/>
      <c r="Q822" s="78"/>
      <c r="R822" s="78"/>
      <c r="S822" s="78"/>
      <c r="T822" s="78"/>
      <c r="U822" s="78"/>
      <c r="V822" s="78"/>
      <c r="W822" s="78"/>
      <c r="X822" s="78"/>
      <c r="Y822" s="78"/>
      <c r="Z822" s="78"/>
      <c r="AA822" s="78"/>
      <c r="AB822" s="78"/>
    </row>
    <row r="823" spans="1:28" s="79" customFormat="1" ht="12.6" customHeight="1" x14ac:dyDescent="0.3">
      <c r="A823" s="102"/>
      <c r="B823" s="78"/>
      <c r="C823" s="78"/>
      <c r="D823" s="78"/>
      <c r="E823" s="78"/>
      <c r="F823" s="78"/>
      <c r="H823" s="78"/>
      <c r="I823" s="78"/>
      <c r="J823" s="78"/>
      <c r="K823" s="78"/>
      <c r="L823" s="78"/>
      <c r="M823" s="78"/>
      <c r="N823" s="78"/>
      <c r="O823" s="78"/>
      <c r="P823" s="78"/>
      <c r="Q823" s="78"/>
      <c r="R823" s="78"/>
      <c r="S823" s="78"/>
      <c r="T823" s="78"/>
      <c r="U823" s="78"/>
      <c r="V823" s="78"/>
      <c r="W823" s="78"/>
      <c r="X823" s="78"/>
      <c r="Y823" s="78"/>
      <c r="Z823" s="78"/>
      <c r="AA823" s="78"/>
      <c r="AB823" s="78"/>
    </row>
    <row r="824" spans="1:28" s="79" customFormat="1" ht="12.6" customHeight="1" x14ac:dyDescent="0.3">
      <c r="A824" s="102"/>
      <c r="B824" s="78"/>
      <c r="C824" s="78"/>
      <c r="D824" s="78"/>
      <c r="E824" s="78"/>
      <c r="F824" s="78"/>
      <c r="H824" s="78"/>
      <c r="I824" s="78"/>
      <c r="J824" s="78"/>
      <c r="K824" s="78"/>
      <c r="L824" s="78"/>
      <c r="M824" s="78"/>
      <c r="N824" s="78"/>
      <c r="O824" s="78"/>
      <c r="P824" s="78"/>
      <c r="Q824" s="78"/>
      <c r="R824" s="78"/>
      <c r="S824" s="78"/>
      <c r="T824" s="78"/>
      <c r="U824" s="78"/>
      <c r="V824" s="78"/>
      <c r="W824" s="78"/>
      <c r="X824" s="78"/>
      <c r="Y824" s="78"/>
      <c r="Z824" s="78"/>
      <c r="AA824" s="78"/>
      <c r="AB824" s="78"/>
    </row>
    <row r="825" spans="1:28" s="79" customFormat="1" ht="12.6" customHeight="1" x14ac:dyDescent="0.3">
      <c r="A825" s="102"/>
      <c r="B825" s="78"/>
      <c r="C825" s="78"/>
      <c r="D825" s="78"/>
      <c r="E825" s="78"/>
      <c r="F825" s="78"/>
      <c r="H825" s="78"/>
      <c r="I825" s="78"/>
      <c r="J825" s="78"/>
      <c r="K825" s="78"/>
      <c r="L825" s="78"/>
      <c r="M825" s="78"/>
      <c r="N825" s="78"/>
      <c r="O825" s="78"/>
      <c r="P825" s="78"/>
      <c r="Q825" s="78"/>
      <c r="R825" s="78"/>
      <c r="S825" s="78"/>
      <c r="T825" s="78"/>
      <c r="U825" s="78"/>
      <c r="V825" s="78"/>
      <c r="W825" s="78"/>
      <c r="X825" s="78"/>
      <c r="Y825" s="78"/>
      <c r="Z825" s="78"/>
      <c r="AA825" s="78"/>
      <c r="AB825" s="78"/>
    </row>
  </sheetData>
  <printOptions gridLines="1"/>
  <pageMargins left="0.62" right="0.17" top="0.69" bottom="0.63" header="0.19" footer="0.18"/>
  <pageSetup orientation="portrait" r:id="rId1"/>
  <headerFooter alignWithMargins="0">
    <oddHeader xml:space="preserve">&amp;CJames Irwin Charter High School
Statement of Financial Activities
January 31, 2017
 </oddHeader>
    <oddFooter>&amp;L&amp;D&amp;T&amp;R&amp;P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3"/>
  <sheetViews>
    <sheetView workbookViewId="0">
      <pane xSplit="1" ySplit="5" topLeftCell="B58" activePane="bottomRight" state="frozen"/>
      <selection pane="topRight" activeCell="B1" sqref="B1"/>
      <selection pane="bottomLeft" activeCell="A5" sqref="A5"/>
      <selection pane="bottomRight" activeCell="A5" sqref="A5"/>
    </sheetView>
  </sheetViews>
  <sheetFormatPr defaultRowHeight="14.4" x14ac:dyDescent="0.3"/>
  <cols>
    <col min="1" max="1" width="37.109375" style="102" customWidth="1"/>
    <col min="2" max="3" width="11.33203125" style="102" customWidth="1"/>
    <col min="4" max="4" width="10.88671875" style="102" customWidth="1"/>
    <col min="5" max="5" width="15.88671875" style="102" hidden="1" customWidth="1"/>
    <col min="6" max="6" width="22.44140625" customWidth="1"/>
  </cols>
  <sheetData>
    <row r="1" spans="1:6" x14ac:dyDescent="0.3">
      <c r="A1" s="71" t="s">
        <v>251</v>
      </c>
      <c r="B1" s="151" t="e">
        <f>'PTEC detail'!#REF!</f>
        <v>#REF!</v>
      </c>
      <c r="C1" s="151">
        <v>160</v>
      </c>
      <c r="D1" s="151">
        <v>159</v>
      </c>
      <c r="E1" s="151">
        <v>240</v>
      </c>
    </row>
    <row r="2" spans="1:6" x14ac:dyDescent="0.3">
      <c r="A2" s="70" t="s">
        <v>252</v>
      </c>
      <c r="B2" s="151" t="e">
        <f>'PTEC detail'!#REF!</f>
        <v>#REF!</v>
      </c>
      <c r="C2" s="48">
        <v>7155.92</v>
      </c>
      <c r="D2" s="48">
        <v>7223.54</v>
      </c>
      <c r="E2" s="48">
        <v>7356.01</v>
      </c>
    </row>
    <row r="3" spans="1:6" x14ac:dyDescent="0.3">
      <c r="A3" s="48"/>
      <c r="B3" s="151" t="e">
        <f>'PTEC detail'!#REF!</f>
        <v>#REF!</v>
      </c>
      <c r="C3" s="44">
        <v>250</v>
      </c>
      <c r="D3" s="44">
        <v>250</v>
      </c>
      <c r="E3" s="44">
        <v>250</v>
      </c>
    </row>
    <row r="4" spans="1:6" x14ac:dyDescent="0.3">
      <c r="A4" s="48"/>
      <c r="B4" s="44"/>
      <c r="C4" s="44"/>
      <c r="D4" s="44"/>
      <c r="E4" s="44"/>
    </row>
    <row r="5" spans="1:6" ht="29.4" thickBot="1" x14ac:dyDescent="0.35">
      <c r="A5" s="49"/>
      <c r="B5" s="187" t="s">
        <v>429</v>
      </c>
      <c r="C5" s="187" t="s">
        <v>424</v>
      </c>
      <c r="D5" s="187" t="s">
        <v>423</v>
      </c>
      <c r="E5" s="187" t="s">
        <v>322</v>
      </c>
      <c r="F5" s="194" t="s">
        <v>319</v>
      </c>
    </row>
    <row r="6" spans="1:6" x14ac:dyDescent="0.3">
      <c r="A6" s="213" t="s">
        <v>16</v>
      </c>
      <c r="B6" s="215"/>
      <c r="C6" s="215"/>
      <c r="D6" s="215"/>
      <c r="E6" s="101"/>
    </row>
    <row r="7" spans="1:6" x14ac:dyDescent="0.3">
      <c r="A7" s="104" t="s">
        <v>26</v>
      </c>
    </row>
    <row r="8" spans="1:6" x14ac:dyDescent="0.3">
      <c r="A8" s="102" t="s">
        <v>23</v>
      </c>
      <c r="B8" s="78" t="e">
        <f>+'PTEC detail'!#REF!</f>
        <v>#REF!</v>
      </c>
      <c r="C8" s="78">
        <v>50</v>
      </c>
      <c r="D8" s="78">
        <f>+'PTEC detail'!D8</f>
        <v>0</v>
      </c>
      <c r="E8" s="78"/>
    </row>
    <row r="9" spans="1:6" x14ac:dyDescent="0.3">
      <c r="A9" s="102" t="s">
        <v>17</v>
      </c>
      <c r="B9" s="78" t="e">
        <f>+'PTEC detail'!#REF!+'PTEC detail'!#REF!</f>
        <v>#REF!</v>
      </c>
      <c r="C9" s="78">
        <v>21489</v>
      </c>
      <c r="D9" s="78">
        <f>+'PTEC detail'!D9+'PTEC detail'!D10</f>
        <v>25000</v>
      </c>
      <c r="E9" s="78"/>
    </row>
    <row r="10" spans="1:6" x14ac:dyDescent="0.3">
      <c r="A10" s="102" t="s">
        <v>22</v>
      </c>
      <c r="B10" s="79" t="e">
        <f>+'PTEC detail'!#REF!</f>
        <v>#REF!</v>
      </c>
      <c r="C10" s="79">
        <v>40000</v>
      </c>
      <c r="D10" s="79">
        <f>+'PTEC detail'!D11</f>
        <v>39750</v>
      </c>
      <c r="E10" s="79">
        <f>E1*E3</f>
        <v>60000</v>
      </c>
    </row>
    <row r="11" spans="1:6" x14ac:dyDescent="0.3">
      <c r="A11" s="102" t="s">
        <v>407</v>
      </c>
      <c r="B11" s="79" t="e">
        <f>+'PTEC detail'!#REF!</f>
        <v>#REF!</v>
      </c>
      <c r="C11" s="79">
        <v>215000</v>
      </c>
      <c r="D11" s="79">
        <f>+'PTEC detail'!D17</f>
        <v>215000</v>
      </c>
      <c r="E11" s="79"/>
    </row>
    <row r="12" spans="1:6" x14ac:dyDescent="0.3">
      <c r="A12" s="102" t="s">
        <v>79</v>
      </c>
      <c r="B12" s="79" t="e">
        <f>+'PTEC detail'!#REF!</f>
        <v>#REF!</v>
      </c>
      <c r="C12" s="79">
        <v>1132096</v>
      </c>
      <c r="D12" s="79">
        <f>+'PTEC detail'!D13</f>
        <v>1148542.8600000001</v>
      </c>
      <c r="E12" s="103">
        <f>E1*E2</f>
        <v>1765442.4000000001</v>
      </c>
    </row>
    <row r="13" spans="1:6" x14ac:dyDescent="0.3">
      <c r="A13" s="102" t="s">
        <v>68</v>
      </c>
      <c r="B13" s="79" t="e">
        <f>'PTEC detail'!#REF!</f>
        <v>#REF!</v>
      </c>
      <c r="C13" s="79">
        <v>3750</v>
      </c>
      <c r="D13" s="79"/>
      <c r="E13" s="79"/>
    </row>
    <row r="14" spans="1:6" ht="12.75" customHeight="1" x14ac:dyDescent="0.3">
      <c r="A14" s="102" t="s">
        <v>354</v>
      </c>
      <c r="B14" s="198" t="e">
        <f>+'PTEC detail'!#REF!</f>
        <v>#REF!</v>
      </c>
      <c r="C14" s="198">
        <v>340000</v>
      </c>
      <c r="D14" s="198">
        <f>+'PTEC detail'!D16</f>
        <v>390000</v>
      </c>
      <c r="E14" s="104"/>
    </row>
    <row r="15" spans="1:6" ht="15" thickBot="1" x14ac:dyDescent="0.35">
      <c r="A15" s="104" t="s">
        <v>49</v>
      </c>
      <c r="B15" s="108" t="e">
        <f>SUM(B8:B14)</f>
        <v>#REF!</v>
      </c>
      <c r="C15" s="108">
        <f>SUM(C8:C14)</f>
        <v>1752385</v>
      </c>
      <c r="D15" s="108">
        <f>SUM(D8:D14)</f>
        <v>1818292.86</v>
      </c>
      <c r="E15" s="108" t="e">
        <f>+#REF!+#REF!</f>
        <v>#REF!</v>
      </c>
    </row>
    <row r="16" spans="1:6" s="195" customFormat="1" ht="9.75" customHeight="1" thickTop="1" x14ac:dyDescent="0.3">
      <c r="A16" s="78"/>
      <c r="B16" s="78"/>
      <c r="C16" s="78"/>
      <c r="D16" s="78"/>
      <c r="E16" s="78"/>
    </row>
    <row r="17" spans="1:9" x14ac:dyDescent="0.3">
      <c r="A17" s="213" t="s">
        <v>19</v>
      </c>
      <c r="B17" s="215"/>
      <c r="C17" s="215"/>
      <c r="D17" s="215"/>
      <c r="E17" s="101"/>
    </row>
    <row r="18" spans="1:9" ht="11.25" customHeight="1" x14ac:dyDescent="0.3">
      <c r="A18" s="2"/>
      <c r="B18" s="78"/>
      <c r="C18" s="78"/>
      <c r="D18" s="78"/>
      <c r="E18" s="78"/>
    </row>
    <row r="19" spans="1:9" x14ac:dyDescent="0.3">
      <c r="A19" s="213" t="s">
        <v>88</v>
      </c>
      <c r="B19" s="215"/>
      <c r="C19" s="215"/>
      <c r="D19" s="215"/>
      <c r="E19" s="101"/>
    </row>
    <row r="20" spans="1:9" x14ac:dyDescent="0.3">
      <c r="A20" s="78" t="s">
        <v>395</v>
      </c>
      <c r="B20" s="78" t="e">
        <f>+'PTEC detail'!#REF!</f>
        <v>#REF!</v>
      </c>
      <c r="C20" s="78">
        <f>+'PTEC detail'!C29</f>
        <v>416811</v>
      </c>
      <c r="D20" s="78">
        <f>+'PTEC detail'!D29</f>
        <v>505610</v>
      </c>
      <c r="E20" s="78" t="e">
        <f>SUM(#REF!)</f>
        <v>#REF!</v>
      </c>
    </row>
    <row r="21" spans="1:9" x14ac:dyDescent="0.3">
      <c r="A21" s="78" t="s">
        <v>82</v>
      </c>
      <c r="B21" s="82" t="e">
        <f>+'PTEC detail'!#REF!</f>
        <v>#REF!</v>
      </c>
      <c r="C21" s="82">
        <f>+'PTEC detail'!C30</f>
        <v>20000</v>
      </c>
      <c r="D21" s="82">
        <f>+'PTEC detail'!D30</f>
        <v>20000</v>
      </c>
      <c r="E21" s="82">
        <v>20000</v>
      </c>
    </row>
    <row r="22" spans="1:9" x14ac:dyDescent="0.3">
      <c r="A22" s="78" t="s">
        <v>316</v>
      </c>
      <c r="B22" s="82" t="e">
        <f>+'PTEC detail'!#REF!</f>
        <v>#REF!</v>
      </c>
      <c r="C22" s="82">
        <f>+'PTEC detail'!C31</f>
        <v>93544</v>
      </c>
      <c r="D22" s="82">
        <f>+'PTEC detail'!D31</f>
        <v>91743</v>
      </c>
      <c r="E22" s="82">
        <v>120000</v>
      </c>
    </row>
    <row r="23" spans="1:9" x14ac:dyDescent="0.3">
      <c r="A23" s="78" t="s">
        <v>276</v>
      </c>
      <c r="B23" s="82" t="e">
        <f>+'PTEC detail'!#REF!</f>
        <v>#REF!</v>
      </c>
      <c r="C23" s="82">
        <f>+'PTEC detail'!C32</f>
        <v>25000</v>
      </c>
      <c r="D23" s="82">
        <f>+'PTEC detail'!D32</f>
        <v>25000</v>
      </c>
      <c r="E23" s="82">
        <v>0</v>
      </c>
    </row>
    <row r="24" spans="1:9" x14ac:dyDescent="0.3">
      <c r="A24" s="189" t="s">
        <v>309</v>
      </c>
      <c r="B24" s="200" t="e">
        <f>+'PTEC detail'!#REF!</f>
        <v>#REF!</v>
      </c>
      <c r="C24" s="200">
        <f>+'PTEC detail'!C33</f>
        <v>100000</v>
      </c>
      <c r="D24" s="200">
        <f>+'PTEC detail'!D33</f>
        <v>53407</v>
      </c>
      <c r="E24" s="200">
        <f>59467-6060</f>
        <v>53407</v>
      </c>
    </row>
    <row r="25" spans="1:9" x14ac:dyDescent="0.3">
      <c r="A25" s="104" t="s">
        <v>31</v>
      </c>
      <c r="B25" s="105" t="e">
        <f>SUM(B20:B24)</f>
        <v>#REF!</v>
      </c>
      <c r="C25" s="105">
        <f>SUM(C20:C24)</f>
        <v>655355</v>
      </c>
      <c r="D25" s="105">
        <f>SUM(D20:D24)</f>
        <v>695760</v>
      </c>
      <c r="E25" s="105" t="e">
        <f>SUM(E20:E24)</f>
        <v>#REF!</v>
      </c>
      <c r="I25" s="172" t="s">
        <v>15</v>
      </c>
    </row>
    <row r="26" spans="1:9" ht="11.25" customHeight="1" x14ac:dyDescent="0.3">
      <c r="A26" s="2"/>
      <c r="B26" s="78"/>
      <c r="C26" s="78"/>
      <c r="D26" s="78"/>
      <c r="E26" s="78"/>
    </row>
    <row r="27" spans="1:9" x14ac:dyDescent="0.3">
      <c r="A27" s="213" t="s">
        <v>35</v>
      </c>
      <c r="B27" s="212"/>
      <c r="C27" s="212"/>
      <c r="D27" s="212"/>
      <c r="E27" s="109"/>
    </row>
    <row r="28" spans="1:9" x14ac:dyDescent="0.3">
      <c r="A28" s="78" t="s">
        <v>388</v>
      </c>
      <c r="B28" s="78" t="e">
        <f>+'PTEC detail'!#REF!</f>
        <v>#REF!</v>
      </c>
      <c r="C28" s="78">
        <f>+'PTEC detail'!C42</f>
        <v>30517</v>
      </c>
      <c r="D28" s="78">
        <f>+'PTEC detail'!D42</f>
        <v>30794</v>
      </c>
      <c r="E28" s="78" t="e">
        <f>SUM(#REF!)</f>
        <v>#REF!</v>
      </c>
      <c r="F28" s="195"/>
    </row>
    <row r="29" spans="1:9" ht="12.75" customHeight="1" x14ac:dyDescent="0.3">
      <c r="A29" s="78" t="s">
        <v>196</v>
      </c>
      <c r="B29" s="77" t="e">
        <f>+'PTEC detail'!#REF!</f>
        <v>#REF!</v>
      </c>
      <c r="C29" s="77">
        <f>+'PTEC detail'!C43</f>
        <v>0</v>
      </c>
      <c r="D29" s="77">
        <f>+'PTEC detail'!D43</f>
        <v>0</v>
      </c>
      <c r="E29" s="77">
        <v>0</v>
      </c>
      <c r="F29" s="195"/>
    </row>
    <row r="30" spans="1:9" x14ac:dyDescent="0.3">
      <c r="A30" s="78" t="s">
        <v>315</v>
      </c>
      <c r="B30" s="81" t="e">
        <f>+'PTEC detail'!#REF!</f>
        <v>#REF!</v>
      </c>
      <c r="C30" s="81">
        <f>+'PTEC detail'!C44</f>
        <v>5000</v>
      </c>
      <c r="D30" s="81">
        <f>+'PTEC detail'!D44</f>
        <v>5000</v>
      </c>
      <c r="E30" s="81">
        <v>5000</v>
      </c>
      <c r="F30" s="195"/>
    </row>
    <row r="31" spans="1:9" x14ac:dyDescent="0.3">
      <c r="A31" s="2" t="s">
        <v>36</v>
      </c>
      <c r="B31" s="110" t="e">
        <f>SUM(B28:B30)</f>
        <v>#REF!</v>
      </c>
      <c r="C31" s="110">
        <f>SUM(C28:C30)</f>
        <v>35517</v>
      </c>
      <c r="D31" s="110">
        <f>SUM(D28:D30)</f>
        <v>35794</v>
      </c>
      <c r="E31" s="110" t="e">
        <f>SUM(E28:E30)</f>
        <v>#REF!</v>
      </c>
    </row>
    <row r="32" spans="1:9" ht="11.25" customHeight="1" x14ac:dyDescent="0.3">
      <c r="A32" s="2"/>
      <c r="B32" s="78"/>
      <c r="C32" s="78"/>
      <c r="D32" s="78"/>
      <c r="E32" s="78"/>
    </row>
    <row r="33" spans="1:6" x14ac:dyDescent="0.3">
      <c r="A33" s="213" t="s">
        <v>37</v>
      </c>
      <c r="B33" s="212"/>
      <c r="C33" s="212"/>
      <c r="D33" s="212"/>
      <c r="E33" s="109"/>
    </row>
    <row r="34" spans="1:6" x14ac:dyDescent="0.3">
      <c r="A34" s="78" t="s">
        <v>388</v>
      </c>
      <c r="B34" s="82" t="e">
        <f>+'PTEC detail'!#REF!</f>
        <v>#REF!</v>
      </c>
      <c r="C34" s="82">
        <f>+'PTEC detail'!C52</f>
        <v>0</v>
      </c>
      <c r="D34" s="82" t="e">
        <f>+'PTEC detail'!D52</f>
        <v>#REF!</v>
      </c>
      <c r="E34" s="82" t="e">
        <f>SUM(#REF!)</f>
        <v>#REF!</v>
      </c>
      <c r="F34" s="195"/>
    </row>
    <row r="35" spans="1:6" x14ac:dyDescent="0.3">
      <c r="A35" s="191" t="s">
        <v>310</v>
      </c>
      <c r="B35" s="191" t="e">
        <f>+'PTEC detail'!#REF!</f>
        <v>#REF!</v>
      </c>
      <c r="C35" s="191">
        <f>+'PTEC detail'!C53</f>
        <v>6460</v>
      </c>
      <c r="D35" s="191">
        <f>+'PTEC detail'!D53</f>
        <v>6460</v>
      </c>
      <c r="E35" s="191">
        <f>6060+400</f>
        <v>6460</v>
      </c>
      <c r="F35" s="195"/>
    </row>
    <row r="36" spans="1:6" s="172" customFormat="1" x14ac:dyDescent="0.3">
      <c r="A36" s="82" t="s">
        <v>349</v>
      </c>
      <c r="B36" s="82" t="e">
        <f>+'PTEC detail'!#REF!</f>
        <v>#REF!</v>
      </c>
      <c r="C36" s="82">
        <f>+'PTEC detail'!C54</f>
        <v>1302</v>
      </c>
      <c r="D36" s="82">
        <f>+'PTEC detail'!D54</f>
        <v>500</v>
      </c>
      <c r="E36" s="110"/>
      <c r="F36" s="197"/>
    </row>
    <row r="37" spans="1:6" x14ac:dyDescent="0.3">
      <c r="A37" s="78" t="s">
        <v>38</v>
      </c>
      <c r="B37" s="81" t="e">
        <f>+'PTEC detail'!#REF!</f>
        <v>#REF!</v>
      </c>
      <c r="C37" s="81">
        <f>+'PTEC detail'!C55</f>
        <v>5000</v>
      </c>
      <c r="D37" s="81">
        <f>+'PTEC detail'!D55</f>
        <v>5000</v>
      </c>
      <c r="E37" s="81">
        <v>5000</v>
      </c>
      <c r="F37" s="195"/>
    </row>
    <row r="38" spans="1:6" ht="18.75" customHeight="1" x14ac:dyDescent="0.3">
      <c r="A38" s="2" t="s">
        <v>56</v>
      </c>
      <c r="B38" s="110" t="e">
        <f>SUM(B34:B37)</f>
        <v>#REF!</v>
      </c>
      <c r="C38" s="110">
        <f>SUM(C34:C37)</f>
        <v>12762</v>
      </c>
      <c r="D38" s="110" t="e">
        <f>SUM(D34:D37)</f>
        <v>#REF!</v>
      </c>
      <c r="E38" s="110" t="e">
        <f>SUM(E34:E37)</f>
        <v>#REF!</v>
      </c>
    </row>
    <row r="39" spans="1:6" ht="11.25" customHeight="1" x14ac:dyDescent="0.3">
      <c r="A39" s="2"/>
      <c r="B39" s="78"/>
      <c r="C39" s="78"/>
      <c r="D39" s="78"/>
      <c r="E39" s="78"/>
    </row>
    <row r="40" spans="1:6" ht="15.75" customHeight="1" x14ac:dyDescent="0.3">
      <c r="A40" s="213" t="s">
        <v>40</v>
      </c>
      <c r="B40" s="212"/>
      <c r="C40" s="212"/>
      <c r="D40" s="212"/>
      <c r="E40" s="109"/>
    </row>
    <row r="41" spans="1:6" x14ac:dyDescent="0.3">
      <c r="A41" s="78" t="s">
        <v>408</v>
      </c>
      <c r="B41" s="64" t="e">
        <f>+'PTEC detail'!#REF!+'PTEC detail'!#REF!</f>
        <v>#REF!</v>
      </c>
      <c r="C41" s="64">
        <f>+'PTEC detail'!C59+'PTEC detail'!C60</f>
        <v>99900</v>
      </c>
      <c r="D41" s="64">
        <f>+'PTEC detail'!D59+'PTEC detail'!D60</f>
        <v>100710</v>
      </c>
      <c r="E41" s="64">
        <v>43186</v>
      </c>
    </row>
    <row r="42" spans="1:6" x14ac:dyDescent="0.3">
      <c r="A42" s="78" t="s">
        <v>409</v>
      </c>
      <c r="B42" s="64" t="e">
        <f>+'PTEC detail'!#REF!</f>
        <v>#REF!</v>
      </c>
      <c r="C42" s="64">
        <f>+'PTEC detail'!C61</f>
        <v>0</v>
      </c>
      <c r="D42" s="64">
        <f>+'PTEC detail'!D61</f>
        <v>0</v>
      </c>
      <c r="E42" s="64">
        <v>91272</v>
      </c>
    </row>
    <row r="43" spans="1:6" x14ac:dyDescent="0.3">
      <c r="A43" s="189" t="s">
        <v>338</v>
      </c>
      <c r="B43" s="76" t="e">
        <f>+'PTEC detail'!#REF!</f>
        <v>#REF!</v>
      </c>
      <c r="C43" s="76">
        <f>+'PTEC detail'!C63</f>
        <v>4000</v>
      </c>
      <c r="D43" s="76">
        <f>+'PTEC detail'!D63</f>
        <v>4000</v>
      </c>
      <c r="E43" s="76">
        <v>0</v>
      </c>
    </row>
    <row r="44" spans="1:6" x14ac:dyDescent="0.3">
      <c r="A44" s="78" t="s">
        <v>378</v>
      </c>
      <c r="B44" s="82" t="e">
        <f>+'PTEC detail'!#REF!</f>
        <v>#REF!</v>
      </c>
      <c r="C44" s="82">
        <f>+'PTEC detail'!C64</f>
        <v>2700</v>
      </c>
      <c r="D44" s="82">
        <f>+'PTEC detail'!D64</f>
        <v>0</v>
      </c>
      <c r="E44" s="82"/>
      <c r="F44" s="172" t="s">
        <v>373</v>
      </c>
    </row>
    <row r="45" spans="1:6" x14ac:dyDescent="0.3">
      <c r="A45" s="78" t="s">
        <v>333</v>
      </c>
      <c r="B45" s="150" t="e">
        <f>+'PTEC detail'!#REF!</f>
        <v>#REF!</v>
      </c>
      <c r="C45" s="150">
        <f>+'PTEC detail'!C65</f>
        <v>23808</v>
      </c>
      <c r="D45" s="150">
        <f>+'PTEC detail'!D65</f>
        <v>23277.600000000002</v>
      </c>
      <c r="E45" s="150">
        <v>0</v>
      </c>
    </row>
    <row r="46" spans="1:6" x14ac:dyDescent="0.3">
      <c r="A46" s="2" t="s">
        <v>41</v>
      </c>
      <c r="B46" s="110" t="e">
        <f>SUM(B41:B45)</f>
        <v>#REF!</v>
      </c>
      <c r="C46" s="110">
        <f>SUM(C41:C45)</f>
        <v>130408</v>
      </c>
      <c r="D46" s="110">
        <f>SUM(D41:D45)</f>
        <v>127987.6</v>
      </c>
      <c r="E46" s="110">
        <f>SUM(E41:E45)</f>
        <v>134458</v>
      </c>
    </row>
    <row r="47" spans="1:6" ht="11.25" customHeight="1" x14ac:dyDescent="0.3">
      <c r="A47" s="2"/>
      <c r="B47" s="78"/>
      <c r="C47" s="78"/>
      <c r="D47" s="78"/>
      <c r="E47" s="78"/>
    </row>
    <row r="48" spans="1:6" x14ac:dyDescent="0.3">
      <c r="A48" s="213" t="s">
        <v>20</v>
      </c>
      <c r="B48" s="215"/>
      <c r="C48" s="215"/>
      <c r="D48" s="215"/>
      <c r="E48" s="101"/>
    </row>
    <row r="49" spans="1:6" x14ac:dyDescent="0.3">
      <c r="A49" s="78" t="s">
        <v>388</v>
      </c>
      <c r="B49" s="78" t="e">
        <f>+'PTEC detail'!#REF!+'PTEC detail'!#REF!+'PTEC detail'!#REF!+'PTEC detail'!#REF!</f>
        <v>#REF!</v>
      </c>
      <c r="C49" s="78">
        <f>+'PTEC detail'!C69+'PTEC detail'!C70+'PTEC detail'!C71+'PTEC detail'!C72</f>
        <v>168250</v>
      </c>
      <c r="D49" s="78">
        <f>+'PTEC detail'!D69+'PTEC detail'!D70+'PTEC detail'!D71+'PTEC detail'!D72</f>
        <v>170868</v>
      </c>
      <c r="E49" s="78" t="e">
        <f>SUM(#REF!)</f>
        <v>#REF!</v>
      </c>
      <c r="F49" s="195"/>
    </row>
    <row r="50" spans="1:6" x14ac:dyDescent="0.3">
      <c r="A50" s="78" t="s">
        <v>271</v>
      </c>
      <c r="B50" s="78" t="e">
        <f>+'PTEC detail'!#REF!</f>
        <v>#REF!</v>
      </c>
      <c r="C50" s="78">
        <f>+'PTEC detail'!C73</f>
        <v>5000</v>
      </c>
      <c r="D50" s="78">
        <f>+'PTEC detail'!D73</f>
        <v>5000</v>
      </c>
      <c r="E50" s="78"/>
      <c r="F50" s="195"/>
    </row>
    <row r="51" spans="1:6" x14ac:dyDescent="0.3">
      <c r="A51" s="78" t="s">
        <v>43</v>
      </c>
      <c r="B51" s="78" t="e">
        <f>+'PTEC detail'!#REF!</f>
        <v>#REF!</v>
      </c>
      <c r="C51" s="78">
        <f>+'PTEC detail'!C77</f>
        <v>2000</v>
      </c>
      <c r="D51" s="78">
        <f>+'PTEC detail'!D77</f>
        <v>1000</v>
      </c>
      <c r="E51" s="78"/>
      <c r="F51" s="195"/>
    </row>
    <row r="52" spans="1:6" x14ac:dyDescent="0.3">
      <c r="A52" s="78" t="s">
        <v>410</v>
      </c>
      <c r="B52" s="78" t="e">
        <f>+'PTEC detail'!#REF!+'PTEC detail'!#REF!</f>
        <v>#REF!</v>
      </c>
      <c r="C52" s="78">
        <f>+'PTEC detail'!C76+'PTEC detail'!C75</f>
        <v>4000</v>
      </c>
      <c r="D52" s="78">
        <f>+'PTEC detail'!D76+'PTEC detail'!D75</f>
        <v>1354</v>
      </c>
      <c r="E52" s="78">
        <v>0</v>
      </c>
      <c r="F52" s="195"/>
    </row>
    <row r="53" spans="1:6" x14ac:dyDescent="0.3">
      <c r="A53" s="189" t="s">
        <v>311</v>
      </c>
      <c r="B53" s="199" t="e">
        <f>+'PTEC detail'!#REF!</f>
        <v>#REF!</v>
      </c>
      <c r="C53" s="199">
        <f>+'PTEC detail'!C78</f>
        <v>4954</v>
      </c>
      <c r="D53" s="199">
        <f>+'PTEC detail'!D78</f>
        <v>4954</v>
      </c>
      <c r="E53" s="199">
        <v>4954</v>
      </c>
      <c r="F53" s="195"/>
    </row>
    <row r="54" spans="1:6" x14ac:dyDescent="0.3">
      <c r="A54" s="2" t="s">
        <v>21</v>
      </c>
      <c r="B54" s="2" t="e">
        <f>SUM(B49:B53)</f>
        <v>#REF!</v>
      </c>
      <c r="C54" s="2">
        <f>SUM(C49:C53)</f>
        <v>184204</v>
      </c>
      <c r="D54" s="2">
        <f>SUM(D49:D53)</f>
        <v>183176</v>
      </c>
      <c r="E54" s="2" t="e">
        <f>SUM(E49:E53)</f>
        <v>#REF!</v>
      </c>
    </row>
    <row r="55" spans="1:6" ht="11.25" customHeight="1" x14ac:dyDescent="0.3">
      <c r="A55" s="2"/>
      <c r="B55" s="78"/>
      <c r="C55" s="78"/>
      <c r="D55" s="78"/>
      <c r="E55" s="78"/>
    </row>
    <row r="56" spans="1:6" x14ac:dyDescent="0.3">
      <c r="A56" s="213" t="s">
        <v>51</v>
      </c>
      <c r="B56" s="215"/>
      <c r="C56" s="215"/>
      <c r="D56" s="215"/>
      <c r="E56" s="101"/>
    </row>
    <row r="57" spans="1:6" x14ac:dyDescent="0.3">
      <c r="A57" s="78" t="s">
        <v>51</v>
      </c>
      <c r="B57" s="78" t="e">
        <f>+'PTEC detail'!#REF!</f>
        <v>#REF!</v>
      </c>
      <c r="C57" s="78">
        <f>+'PTEC detail'!C82</f>
        <v>35694</v>
      </c>
      <c r="D57" s="78">
        <f>+'PTEC detail'!D82</f>
        <v>35694</v>
      </c>
      <c r="E57" s="78">
        <v>34542</v>
      </c>
      <c r="F57" s="195"/>
    </row>
    <row r="58" spans="1:6" x14ac:dyDescent="0.3">
      <c r="A58" s="102" t="s">
        <v>44</v>
      </c>
      <c r="B58" s="103" t="e">
        <f>+'PTEC detail'!#REF!+'PTEC detail'!#REF!+'PTEC detail'!#REF!+'PTEC detail'!#REF!</f>
        <v>#REF!</v>
      </c>
      <c r="C58" s="103">
        <f>+'PTEC detail'!C83+'PTEC detail'!C84+'PTEC detail'!C85+'PTEC detail'!C86</f>
        <v>3000</v>
      </c>
      <c r="D58" s="103">
        <f>+'PTEC detail'!D83+'PTEC detail'!D84+'PTEC detail'!D85+'PTEC detail'!D86</f>
        <v>4400</v>
      </c>
      <c r="E58" s="103">
        <v>2600</v>
      </c>
      <c r="F58" s="195"/>
    </row>
    <row r="59" spans="1:6" x14ac:dyDescent="0.3">
      <c r="A59" s="104" t="s">
        <v>32</v>
      </c>
      <c r="B59" s="2" t="e">
        <f>SUM(B57:B58)</f>
        <v>#REF!</v>
      </c>
      <c r="C59" s="2">
        <f>SUM(C57:C58)</f>
        <v>38694</v>
      </c>
      <c r="D59" s="2">
        <f>SUM(D57:D58)</f>
        <v>40094</v>
      </c>
      <c r="E59" s="2">
        <f>SUM(E57:E58)</f>
        <v>37142</v>
      </c>
    </row>
    <row r="60" spans="1:6" ht="11.25" customHeight="1" x14ac:dyDescent="0.3">
      <c r="A60" s="2"/>
      <c r="B60" s="78"/>
      <c r="C60" s="78"/>
      <c r="D60" s="78"/>
      <c r="E60" s="78"/>
    </row>
    <row r="61" spans="1:6" x14ac:dyDescent="0.3">
      <c r="A61" s="213" t="s">
        <v>52</v>
      </c>
      <c r="B61" s="215"/>
      <c r="C61" s="215"/>
      <c r="D61" s="215"/>
      <c r="E61" s="101"/>
    </row>
    <row r="62" spans="1:6" x14ac:dyDescent="0.3">
      <c r="A62" s="78" t="s">
        <v>293</v>
      </c>
      <c r="B62" s="64" t="e">
        <f>+'PTEC detail'!#REF!</f>
        <v>#REF!</v>
      </c>
      <c r="C62" s="64">
        <f>+'PTEC detail'!C90</f>
        <v>34191</v>
      </c>
      <c r="D62" s="64">
        <f>+'PTEC detail'!D90</f>
        <v>34191</v>
      </c>
      <c r="E62" s="64">
        <v>27241</v>
      </c>
    </row>
    <row r="63" spans="1:6" x14ac:dyDescent="0.3">
      <c r="A63" s="78" t="s">
        <v>154</v>
      </c>
      <c r="B63" s="64" t="e">
        <f>+'PTEC detail'!#REF!+'PTEC detail'!#REF!+'PTEC detail'!#REF!+'PTEC detail'!#REF!</f>
        <v>#REF!</v>
      </c>
      <c r="C63" s="64">
        <f>+'PTEC detail'!C91+'PTEC detail'!C92+'PTEC detail'!C93+'PTEC detail'!C97</f>
        <v>113500</v>
      </c>
      <c r="D63" s="64">
        <f>+'PTEC detail'!D91+'PTEC detail'!D92+'PTEC detail'!D93+'PTEC detail'!D97</f>
        <v>122000</v>
      </c>
      <c r="E63" s="64">
        <v>38000</v>
      </c>
    </row>
    <row r="64" spans="1:6" x14ac:dyDescent="0.3">
      <c r="A64" s="78" t="s">
        <v>46</v>
      </c>
      <c r="B64" s="103" t="e">
        <f>+'PTEC detail'!#REF!+'PTEC detail'!#REF!+'PTEC detail'!#REF!</f>
        <v>#REF!</v>
      </c>
      <c r="C64" s="103">
        <f>+'PTEC detail'!C94+'PTEC detail'!C95+'PTEC detail'!C96</f>
        <v>23000</v>
      </c>
      <c r="D64" s="103">
        <f>+'PTEC detail'!D94+'PTEC detail'!D95+'PTEC detail'!D96</f>
        <v>23000</v>
      </c>
      <c r="E64" s="78">
        <v>5000</v>
      </c>
    </row>
    <row r="65" spans="1:6" x14ac:dyDescent="0.3">
      <c r="A65" s="2" t="s">
        <v>33</v>
      </c>
      <c r="B65" s="2" t="e">
        <f>SUM(B62:B64)</f>
        <v>#REF!</v>
      </c>
      <c r="C65" s="2">
        <f>SUM(C62:C64)</f>
        <v>170691</v>
      </c>
      <c r="D65" s="2">
        <f>SUM(D62:D64)</f>
        <v>179191</v>
      </c>
      <c r="E65" s="2">
        <f>SUM(E62:E64)</f>
        <v>70241</v>
      </c>
    </row>
    <row r="66" spans="1:6" ht="11.25" customHeight="1" x14ac:dyDescent="0.3">
      <c r="A66" s="2"/>
      <c r="B66" s="78"/>
      <c r="C66" s="78"/>
      <c r="D66" s="78"/>
      <c r="E66" s="78"/>
    </row>
    <row r="67" spans="1:6" x14ac:dyDescent="0.3">
      <c r="A67" s="213" t="s">
        <v>53</v>
      </c>
      <c r="B67" s="215"/>
      <c r="C67" s="215"/>
      <c r="D67" s="215"/>
      <c r="E67" s="101"/>
    </row>
    <row r="68" spans="1:6" x14ac:dyDescent="0.3">
      <c r="A68" s="78" t="s">
        <v>173</v>
      </c>
      <c r="B68" s="78">
        <v>44280</v>
      </c>
      <c r="C68" s="78">
        <v>44280</v>
      </c>
      <c r="D68" s="78">
        <f>+'PTEC detail'!D101</f>
        <v>44280</v>
      </c>
      <c r="E68" s="78">
        <v>44280</v>
      </c>
    </row>
    <row r="69" spans="1:6" x14ac:dyDescent="0.3">
      <c r="A69" s="189" t="s">
        <v>313</v>
      </c>
      <c r="B69" s="189" t="e">
        <f>+'PTEC detail'!#REF!+'PTEC detail'!#REF!</f>
        <v>#REF!</v>
      </c>
      <c r="C69" s="189">
        <f>+'PTEC detail'!C102+'PTEC detail'!C103</f>
        <v>99586</v>
      </c>
      <c r="D69" s="189">
        <f>+'PTEC detail'!D102+'PTEC detail'!D103</f>
        <v>146179</v>
      </c>
      <c r="E69" s="189">
        <v>65281</v>
      </c>
    </row>
    <row r="70" spans="1:6" x14ac:dyDescent="0.3">
      <c r="A70" s="78" t="s">
        <v>324</v>
      </c>
      <c r="B70" s="78" t="e">
        <f>+'PTEC detail'!#REF!</f>
        <v>#REF!</v>
      </c>
      <c r="C70" s="78">
        <v>2500</v>
      </c>
      <c r="D70" s="78">
        <v>2500</v>
      </c>
      <c r="E70" s="189"/>
    </row>
    <row r="71" spans="1:6" x14ac:dyDescent="0.3">
      <c r="A71" s="78" t="s">
        <v>411</v>
      </c>
      <c r="B71" s="79" t="e">
        <f>+'PTEC detail'!#REF!</f>
        <v>#REF!</v>
      </c>
      <c r="C71" s="79">
        <v>7574</v>
      </c>
      <c r="D71" s="79">
        <v>7574</v>
      </c>
      <c r="E71" s="79">
        <v>15000</v>
      </c>
    </row>
    <row r="72" spans="1:6" x14ac:dyDescent="0.3">
      <c r="A72" s="78" t="s">
        <v>11</v>
      </c>
      <c r="B72" s="103" t="e">
        <f>+'PTEC detail'!#REF!</f>
        <v>#REF!</v>
      </c>
      <c r="C72" s="103">
        <v>17900</v>
      </c>
      <c r="D72" s="103">
        <v>17900</v>
      </c>
      <c r="E72" s="103">
        <v>30000</v>
      </c>
    </row>
    <row r="73" spans="1:6" x14ac:dyDescent="0.3">
      <c r="A73" s="2" t="s">
        <v>34</v>
      </c>
      <c r="B73" s="105" t="e">
        <f>SUM(B68:B72)</f>
        <v>#REF!</v>
      </c>
      <c r="C73" s="105">
        <f>SUM(C68:C72)</f>
        <v>171840</v>
      </c>
      <c r="D73" s="105">
        <f>SUM(D68:D72)</f>
        <v>218433</v>
      </c>
      <c r="E73" s="105">
        <f>SUM(E68:E72)</f>
        <v>154561</v>
      </c>
    </row>
    <row r="74" spans="1:6" ht="11.25" customHeight="1" x14ac:dyDescent="0.3">
      <c r="A74" s="2"/>
      <c r="B74" s="78"/>
      <c r="C74" s="78"/>
      <c r="D74" s="78"/>
      <c r="E74" s="78"/>
      <c r="F74" s="207" t="s">
        <v>15</v>
      </c>
    </row>
    <row r="75" spans="1:6" x14ac:dyDescent="0.3">
      <c r="A75" s="213" t="s">
        <v>72</v>
      </c>
      <c r="B75" s="212" t="e">
        <f>+'PTEC detail'!#REF!</f>
        <v>#REF!</v>
      </c>
      <c r="C75" s="212">
        <f>+'PTEC detail'!C109</f>
        <v>310000</v>
      </c>
      <c r="D75" s="212">
        <f>+'PTEC detail'!D109</f>
        <v>287700</v>
      </c>
      <c r="E75" s="109">
        <v>250000</v>
      </c>
      <c r="F75" s="208" t="s">
        <v>374</v>
      </c>
    </row>
    <row r="76" spans="1:6" ht="11.25" customHeight="1" x14ac:dyDescent="0.3">
      <c r="A76" s="2"/>
      <c r="B76" s="78"/>
      <c r="C76" s="78"/>
      <c r="D76" s="78"/>
      <c r="E76" s="78"/>
      <c r="F76" t="s">
        <v>375</v>
      </c>
    </row>
    <row r="77" spans="1:6" x14ac:dyDescent="0.3">
      <c r="A77" s="213" t="s">
        <v>70</v>
      </c>
      <c r="B77" s="212">
        <v>0</v>
      </c>
      <c r="C77" s="212">
        <v>0</v>
      </c>
      <c r="D77" s="212">
        <v>0</v>
      </c>
      <c r="E77" s="109">
        <v>0</v>
      </c>
    </row>
    <row r="78" spans="1:6" ht="11.25" customHeight="1" x14ac:dyDescent="0.3">
      <c r="A78" s="2"/>
      <c r="B78" s="78"/>
      <c r="C78" s="78"/>
      <c r="D78" s="78"/>
      <c r="E78" s="78"/>
    </row>
    <row r="79" spans="1:6" x14ac:dyDescent="0.3">
      <c r="A79" s="213" t="s">
        <v>361</v>
      </c>
      <c r="B79" s="214" t="e">
        <f>B77+B75+B73+B65+B59+B54+B46+B38+B31+B25</f>
        <v>#REF!</v>
      </c>
      <c r="C79" s="214">
        <f>C77+C75+C73+C65+C59+C54+C46+C38+C31+C25</f>
        <v>1709471</v>
      </c>
      <c r="D79" s="214" t="e">
        <f>D77+D75+D73+D65+D59+D54+D46+D38+D31+D25</f>
        <v>#REF!</v>
      </c>
      <c r="E79" s="112" t="e">
        <f>E77+E75+E73+E65+E59+E54+E46+E38+E31+E25</f>
        <v>#REF!</v>
      </c>
    </row>
    <row r="80" spans="1:6" ht="11.25" customHeight="1" x14ac:dyDescent="0.3">
      <c r="A80" s="2"/>
      <c r="B80" s="78"/>
      <c r="C80" s="78"/>
      <c r="D80" s="78"/>
      <c r="E80" s="78"/>
    </row>
    <row r="81" spans="1:5" x14ac:dyDescent="0.3">
      <c r="A81" s="211" t="s">
        <v>80</v>
      </c>
      <c r="B81" s="212" t="e">
        <f>+B15-B79</f>
        <v>#REF!</v>
      </c>
      <c r="C81" s="212">
        <f>+C15-C79</f>
        <v>42914</v>
      </c>
      <c r="D81" s="212" t="e">
        <f>+D15-D79</f>
        <v>#REF!</v>
      </c>
      <c r="E81" s="109" t="e">
        <f>+E15-E79</f>
        <v>#REF!</v>
      </c>
    </row>
    <row r="82" spans="1:5" ht="12.75" customHeight="1" x14ac:dyDescent="0.3">
      <c r="A82" s="55"/>
      <c r="B82" s="105"/>
      <c r="C82" s="105"/>
      <c r="D82" s="105"/>
      <c r="E82" s="105"/>
    </row>
    <row r="83" spans="1:5" ht="12.75" customHeight="1" x14ac:dyDescent="0.3">
      <c r="A83" s="55" t="s">
        <v>353</v>
      </c>
      <c r="B83" s="105">
        <v>-35425</v>
      </c>
      <c r="C83" s="105">
        <v>-35425</v>
      </c>
      <c r="D83" s="105">
        <v>-35425</v>
      </c>
      <c r="E83" s="105"/>
    </row>
    <row r="84" spans="1:5" x14ac:dyDescent="0.3">
      <c r="A84" s="75" t="s">
        <v>210</v>
      </c>
      <c r="B84" s="2">
        <v>0</v>
      </c>
      <c r="C84" s="2">
        <v>0</v>
      </c>
      <c r="D84" s="2">
        <v>0</v>
      </c>
      <c r="E84" s="2">
        <v>0</v>
      </c>
    </row>
    <row r="85" spans="1:5" ht="15" thickBot="1" x14ac:dyDescent="0.35">
      <c r="A85" s="104" t="s">
        <v>278</v>
      </c>
      <c r="B85" s="176" t="e">
        <f>SUM(B81:B84)</f>
        <v>#REF!</v>
      </c>
      <c r="C85" s="176">
        <f>SUM(C81:C84)</f>
        <v>7489</v>
      </c>
      <c r="D85" s="176" t="e">
        <f>SUM(D81:D84)</f>
        <v>#REF!</v>
      </c>
      <c r="E85" s="176" t="e">
        <f>SUM(E81:E84)</f>
        <v>#REF!</v>
      </c>
    </row>
    <row r="86" spans="1:5" ht="15.6" thickTop="1" thickBot="1" x14ac:dyDescent="0.35">
      <c r="A86" s="190" t="s">
        <v>339</v>
      </c>
      <c r="B86" s="192" t="e">
        <f>+B53+B35+B24+B69+B43</f>
        <v>#REF!</v>
      </c>
      <c r="C86" s="192">
        <f>+C53+C35+C24+C69+C43</f>
        <v>215000</v>
      </c>
      <c r="D86" s="192">
        <f>+D53+D35+D24+D69+D43</f>
        <v>215000</v>
      </c>
      <c r="E86" s="192" t="e">
        <f>+#REF!+E53+E35+E24+E69+#REF!</f>
        <v>#REF!</v>
      </c>
    </row>
    <row r="87" spans="1:5" ht="15" thickTop="1" x14ac:dyDescent="0.3">
      <c r="B87" s="78"/>
      <c r="C87" s="78"/>
      <c r="D87" s="78"/>
      <c r="E87" s="78"/>
    </row>
    <row r="88" spans="1:5" x14ac:dyDescent="0.3">
      <c r="B88" s="78"/>
      <c r="C88" s="78"/>
      <c r="D88" s="78"/>
      <c r="E88" s="78"/>
    </row>
    <row r="89" spans="1:5" x14ac:dyDescent="0.3">
      <c r="B89" s="78"/>
      <c r="C89" s="78"/>
      <c r="D89" s="78"/>
      <c r="E89" s="78"/>
    </row>
    <row r="90" spans="1:5" x14ac:dyDescent="0.3">
      <c r="B90" s="78"/>
      <c r="C90" s="78"/>
      <c r="D90" s="78"/>
      <c r="E90" s="78"/>
    </row>
    <row r="91" spans="1:5" x14ac:dyDescent="0.3">
      <c r="B91" s="78"/>
      <c r="C91" s="78"/>
      <c r="D91" s="78"/>
      <c r="E91" s="78"/>
    </row>
    <row r="92" spans="1:5" x14ac:dyDescent="0.3">
      <c r="B92" s="78"/>
      <c r="C92" s="78"/>
      <c r="D92" s="78"/>
      <c r="E92" s="78"/>
    </row>
    <row r="93" spans="1:5" x14ac:dyDescent="0.3">
      <c r="B93" s="78"/>
      <c r="C93" s="78"/>
      <c r="D93" s="78"/>
      <c r="E93" s="78"/>
    </row>
    <row r="94" spans="1:5" x14ac:dyDescent="0.3">
      <c r="B94" s="78"/>
      <c r="C94" s="78"/>
      <c r="D94" s="78"/>
      <c r="E94" s="78"/>
    </row>
    <row r="95" spans="1:5" x14ac:dyDescent="0.3">
      <c r="B95" s="78"/>
      <c r="C95" s="78"/>
      <c r="D95" s="78"/>
      <c r="E95" s="78"/>
    </row>
    <row r="96" spans="1:5" x14ac:dyDescent="0.3">
      <c r="B96" s="78"/>
      <c r="C96" s="78"/>
      <c r="D96" s="78"/>
      <c r="E96" s="78"/>
    </row>
    <row r="97" spans="2:5" x14ac:dyDescent="0.3">
      <c r="B97" s="78"/>
      <c r="C97" s="78"/>
      <c r="D97" s="78"/>
      <c r="E97" s="78"/>
    </row>
    <row r="98" spans="2:5" x14ac:dyDescent="0.3">
      <c r="B98" s="78"/>
      <c r="C98" s="78"/>
      <c r="D98" s="78"/>
      <c r="E98" s="78"/>
    </row>
    <row r="99" spans="2:5" x14ac:dyDescent="0.3">
      <c r="B99" s="78"/>
      <c r="C99" s="78"/>
      <c r="D99" s="78"/>
      <c r="E99" s="78"/>
    </row>
    <row r="100" spans="2:5" x14ac:dyDescent="0.3">
      <c r="B100" s="78"/>
      <c r="C100" s="78"/>
      <c r="D100" s="78"/>
      <c r="E100" s="78"/>
    </row>
    <row r="101" spans="2:5" x14ac:dyDescent="0.3">
      <c r="B101" s="78"/>
      <c r="C101" s="78"/>
      <c r="D101" s="78"/>
      <c r="E101" s="78"/>
    </row>
    <row r="102" spans="2:5" x14ac:dyDescent="0.3">
      <c r="B102" s="78"/>
      <c r="C102" s="78"/>
      <c r="D102" s="78"/>
      <c r="E102" s="78"/>
    </row>
    <row r="103" spans="2:5" x14ac:dyDescent="0.3">
      <c r="B103" s="78"/>
      <c r="C103" s="78"/>
      <c r="D103" s="78"/>
      <c r="E103" s="78"/>
    </row>
    <row r="104" spans="2:5" x14ac:dyDescent="0.3">
      <c r="B104" s="78"/>
      <c r="C104" s="78"/>
      <c r="D104" s="78"/>
      <c r="E104" s="78"/>
    </row>
    <row r="105" spans="2:5" x14ac:dyDescent="0.3">
      <c r="B105" s="78"/>
      <c r="C105" s="78"/>
      <c r="D105" s="78"/>
      <c r="E105" s="78"/>
    </row>
    <row r="106" spans="2:5" x14ac:dyDescent="0.3">
      <c r="B106" s="78"/>
      <c r="C106" s="78"/>
      <c r="D106" s="78"/>
      <c r="E106" s="78"/>
    </row>
    <row r="107" spans="2:5" x14ac:dyDescent="0.3">
      <c r="B107" s="78"/>
      <c r="C107" s="78"/>
      <c r="D107" s="78"/>
      <c r="E107" s="78"/>
    </row>
    <row r="108" spans="2:5" x14ac:dyDescent="0.3">
      <c r="B108" s="78"/>
      <c r="C108" s="78"/>
      <c r="D108" s="78"/>
      <c r="E108" s="78"/>
    </row>
    <row r="109" spans="2:5" x14ac:dyDescent="0.3">
      <c r="B109" s="78"/>
      <c r="C109" s="78"/>
      <c r="D109" s="78"/>
      <c r="E109" s="78"/>
    </row>
    <row r="110" spans="2:5" x14ac:dyDescent="0.3">
      <c r="B110" s="78"/>
      <c r="C110" s="78"/>
      <c r="D110" s="78"/>
      <c r="E110" s="78"/>
    </row>
    <row r="111" spans="2:5" x14ac:dyDescent="0.3">
      <c r="B111" s="78"/>
      <c r="C111" s="78"/>
      <c r="D111" s="78"/>
      <c r="E111" s="78"/>
    </row>
    <row r="112" spans="2:5" x14ac:dyDescent="0.3">
      <c r="B112" s="78"/>
      <c r="C112" s="78"/>
      <c r="D112" s="78"/>
      <c r="E112" s="78"/>
    </row>
    <row r="113" spans="2:5" x14ac:dyDescent="0.3">
      <c r="B113" s="78"/>
      <c r="C113" s="78"/>
      <c r="D113" s="78"/>
      <c r="E113" s="78"/>
    </row>
    <row r="114" spans="2:5" x14ac:dyDescent="0.3">
      <c r="B114" s="78"/>
      <c r="C114" s="78"/>
      <c r="D114" s="78"/>
      <c r="E114" s="78"/>
    </row>
    <row r="115" spans="2:5" x14ac:dyDescent="0.3">
      <c r="B115" s="78"/>
      <c r="C115" s="78"/>
      <c r="D115" s="78"/>
      <c r="E115" s="78"/>
    </row>
    <row r="116" spans="2:5" x14ac:dyDescent="0.3">
      <c r="B116" s="78"/>
      <c r="C116" s="78"/>
      <c r="D116" s="78"/>
      <c r="E116" s="78"/>
    </row>
    <row r="117" spans="2:5" x14ac:dyDescent="0.3">
      <c r="B117" s="78"/>
      <c r="C117" s="78"/>
      <c r="D117" s="78"/>
      <c r="E117" s="78"/>
    </row>
    <row r="118" spans="2:5" x14ac:dyDescent="0.3">
      <c r="B118" s="78"/>
      <c r="C118" s="78"/>
      <c r="D118" s="78"/>
      <c r="E118" s="78"/>
    </row>
    <row r="119" spans="2:5" x14ac:dyDescent="0.3">
      <c r="B119" s="78"/>
      <c r="C119" s="78"/>
      <c r="D119" s="78"/>
      <c r="E119" s="78"/>
    </row>
    <row r="120" spans="2:5" x14ac:dyDescent="0.3">
      <c r="B120" s="78"/>
      <c r="C120" s="78"/>
      <c r="D120" s="78"/>
      <c r="E120" s="78"/>
    </row>
    <row r="121" spans="2:5" x14ac:dyDescent="0.3">
      <c r="B121" s="78"/>
      <c r="C121" s="78"/>
      <c r="D121" s="78"/>
      <c r="E121" s="78"/>
    </row>
    <row r="122" spans="2:5" x14ac:dyDescent="0.3">
      <c r="B122" s="78"/>
      <c r="C122" s="78"/>
      <c r="D122" s="78"/>
      <c r="E122" s="78"/>
    </row>
    <row r="123" spans="2:5" x14ac:dyDescent="0.3">
      <c r="B123" s="78"/>
      <c r="C123" s="78"/>
      <c r="D123" s="78"/>
      <c r="E123" s="78"/>
    </row>
    <row r="124" spans="2:5" x14ac:dyDescent="0.3">
      <c r="B124" s="78"/>
      <c r="C124" s="78"/>
      <c r="D124" s="78"/>
      <c r="E124" s="78"/>
    </row>
    <row r="125" spans="2:5" x14ac:dyDescent="0.3">
      <c r="B125" s="78"/>
      <c r="C125" s="78"/>
      <c r="D125" s="78"/>
      <c r="E125" s="78"/>
    </row>
    <row r="126" spans="2:5" x14ac:dyDescent="0.3">
      <c r="B126" s="78"/>
      <c r="C126" s="78"/>
      <c r="D126" s="78"/>
      <c r="E126" s="78"/>
    </row>
    <row r="127" spans="2:5" x14ac:dyDescent="0.3">
      <c r="B127" s="78"/>
      <c r="C127" s="78"/>
      <c r="D127" s="78"/>
      <c r="E127" s="78"/>
    </row>
    <row r="128" spans="2:5" x14ac:dyDescent="0.3">
      <c r="B128" s="78"/>
      <c r="C128" s="78"/>
      <c r="D128" s="78"/>
      <c r="E128" s="78"/>
    </row>
    <row r="129" spans="2:5" x14ac:dyDescent="0.3">
      <c r="B129" s="78"/>
      <c r="C129" s="78"/>
      <c r="D129" s="78"/>
      <c r="E129" s="78"/>
    </row>
    <row r="130" spans="2:5" x14ac:dyDescent="0.3">
      <c r="B130" s="78"/>
      <c r="C130" s="78"/>
      <c r="D130" s="78"/>
      <c r="E130" s="78"/>
    </row>
    <row r="131" spans="2:5" x14ac:dyDescent="0.3">
      <c r="B131" s="78"/>
      <c r="C131" s="78"/>
      <c r="D131" s="78"/>
      <c r="E131" s="78"/>
    </row>
    <row r="132" spans="2:5" x14ac:dyDescent="0.3">
      <c r="B132" s="78"/>
      <c r="C132" s="78"/>
      <c r="D132" s="78"/>
      <c r="E132" s="78"/>
    </row>
    <row r="133" spans="2:5" x14ac:dyDescent="0.3">
      <c r="B133" s="78"/>
      <c r="C133" s="78"/>
      <c r="D133" s="78"/>
      <c r="E133" s="78"/>
    </row>
    <row r="134" spans="2:5" x14ac:dyDescent="0.3">
      <c r="B134" s="78"/>
      <c r="C134" s="78"/>
      <c r="D134" s="78"/>
      <c r="E134" s="78"/>
    </row>
    <row r="135" spans="2:5" x14ac:dyDescent="0.3">
      <c r="B135" s="78"/>
      <c r="C135" s="78"/>
      <c r="D135" s="78"/>
      <c r="E135" s="78"/>
    </row>
    <row r="136" spans="2:5" x14ac:dyDescent="0.3">
      <c r="B136" s="78"/>
      <c r="C136" s="78"/>
      <c r="D136" s="78"/>
      <c r="E136" s="78"/>
    </row>
    <row r="137" spans="2:5" x14ac:dyDescent="0.3">
      <c r="B137" s="78"/>
      <c r="C137" s="78"/>
      <c r="D137" s="78"/>
      <c r="E137" s="78"/>
    </row>
    <row r="138" spans="2:5" x14ac:dyDescent="0.3">
      <c r="B138" s="78"/>
      <c r="C138" s="78"/>
      <c r="D138" s="78"/>
      <c r="E138" s="78"/>
    </row>
    <row r="139" spans="2:5" x14ac:dyDescent="0.3">
      <c r="B139" s="78"/>
      <c r="C139" s="78"/>
      <c r="D139" s="78"/>
      <c r="E139" s="78"/>
    </row>
    <row r="140" spans="2:5" x14ac:dyDescent="0.3">
      <c r="B140" s="78"/>
      <c r="C140" s="78"/>
      <c r="D140" s="78"/>
      <c r="E140" s="78"/>
    </row>
    <row r="141" spans="2:5" x14ac:dyDescent="0.3">
      <c r="B141" s="78"/>
      <c r="C141" s="78"/>
      <c r="D141" s="78"/>
      <c r="E141" s="78"/>
    </row>
    <row r="142" spans="2:5" x14ac:dyDescent="0.3">
      <c r="B142" s="78"/>
      <c r="C142" s="78"/>
      <c r="D142" s="78"/>
      <c r="E142" s="78"/>
    </row>
    <row r="143" spans="2:5" x14ac:dyDescent="0.3">
      <c r="B143" s="78"/>
      <c r="C143" s="78"/>
      <c r="D143" s="78"/>
      <c r="E143" s="78"/>
    </row>
    <row r="144" spans="2:5" x14ac:dyDescent="0.3">
      <c r="B144" s="78"/>
      <c r="C144" s="78"/>
      <c r="D144" s="78"/>
      <c r="E144" s="78"/>
    </row>
    <row r="145" spans="2:5" x14ac:dyDescent="0.3">
      <c r="B145" s="78"/>
      <c r="C145" s="78"/>
      <c r="D145" s="78"/>
      <c r="E145" s="78"/>
    </row>
    <row r="146" spans="2:5" x14ac:dyDescent="0.3">
      <c r="B146" s="78"/>
      <c r="C146" s="78"/>
      <c r="D146" s="78"/>
      <c r="E146" s="78"/>
    </row>
    <row r="147" spans="2:5" x14ac:dyDescent="0.3">
      <c r="B147" s="78"/>
      <c r="C147" s="78"/>
      <c r="D147" s="78"/>
      <c r="E147" s="78"/>
    </row>
    <row r="148" spans="2:5" x14ac:dyDescent="0.3">
      <c r="B148" s="78"/>
      <c r="C148" s="78"/>
      <c r="D148" s="78"/>
      <c r="E148" s="78"/>
    </row>
    <row r="149" spans="2:5" x14ac:dyDescent="0.3">
      <c r="B149" s="78"/>
      <c r="C149" s="78"/>
      <c r="D149" s="78"/>
      <c r="E149" s="78"/>
    </row>
    <row r="150" spans="2:5" x14ac:dyDescent="0.3">
      <c r="B150" s="78"/>
      <c r="C150" s="78"/>
      <c r="D150" s="78"/>
      <c r="E150" s="78"/>
    </row>
    <row r="151" spans="2:5" x14ac:dyDescent="0.3">
      <c r="B151" s="78"/>
      <c r="C151" s="78"/>
      <c r="D151" s="78"/>
      <c r="E151" s="78"/>
    </row>
    <row r="152" spans="2:5" x14ac:dyDescent="0.3">
      <c r="B152" s="78"/>
      <c r="C152" s="78"/>
      <c r="D152" s="78"/>
      <c r="E152" s="78"/>
    </row>
    <row r="153" spans="2:5" x14ac:dyDescent="0.3">
      <c r="B153" s="78"/>
      <c r="C153" s="78"/>
      <c r="D153" s="78"/>
      <c r="E153" s="78"/>
    </row>
    <row r="154" spans="2:5" x14ac:dyDescent="0.3">
      <c r="B154" s="78"/>
      <c r="C154" s="78"/>
      <c r="D154" s="78"/>
      <c r="E154" s="78"/>
    </row>
    <row r="155" spans="2:5" x14ac:dyDescent="0.3">
      <c r="B155" s="78"/>
      <c r="C155" s="78"/>
      <c r="D155" s="78"/>
      <c r="E155" s="78"/>
    </row>
    <row r="156" spans="2:5" x14ac:dyDescent="0.3">
      <c r="B156" s="78"/>
      <c r="C156" s="78"/>
      <c r="D156" s="78"/>
      <c r="E156" s="78"/>
    </row>
    <row r="157" spans="2:5" x14ac:dyDescent="0.3">
      <c r="B157" s="78"/>
      <c r="C157" s="78"/>
      <c r="D157" s="78"/>
      <c r="E157" s="78"/>
    </row>
    <row r="158" spans="2:5" x14ac:dyDescent="0.3">
      <c r="B158" s="78"/>
      <c r="C158" s="78"/>
      <c r="D158" s="78"/>
      <c r="E158" s="78"/>
    </row>
    <row r="159" spans="2:5" x14ac:dyDescent="0.3">
      <c r="B159" s="78"/>
      <c r="C159" s="78"/>
      <c r="D159" s="78"/>
      <c r="E159" s="78"/>
    </row>
    <row r="160" spans="2:5" x14ac:dyDescent="0.3">
      <c r="B160" s="78"/>
      <c r="C160" s="78"/>
      <c r="D160" s="78"/>
      <c r="E160" s="78"/>
    </row>
    <row r="161" spans="2:5" x14ac:dyDescent="0.3">
      <c r="B161" s="78"/>
      <c r="C161" s="78"/>
      <c r="D161" s="78"/>
      <c r="E161" s="78"/>
    </row>
    <row r="162" spans="2:5" x14ac:dyDescent="0.3">
      <c r="B162" s="78"/>
      <c r="C162" s="78"/>
      <c r="D162" s="78"/>
      <c r="E162" s="78"/>
    </row>
    <row r="163" spans="2:5" x14ac:dyDescent="0.3">
      <c r="B163" s="78"/>
      <c r="C163" s="78"/>
      <c r="D163" s="78"/>
      <c r="E163" s="78"/>
    </row>
    <row r="164" spans="2:5" x14ac:dyDescent="0.3">
      <c r="B164" s="78"/>
      <c r="C164" s="78"/>
      <c r="D164" s="78"/>
      <c r="E164" s="78"/>
    </row>
    <row r="165" spans="2:5" x14ac:dyDescent="0.3">
      <c r="B165" s="78"/>
      <c r="C165" s="78"/>
      <c r="D165" s="78"/>
      <c r="E165" s="78"/>
    </row>
    <row r="166" spans="2:5" x14ac:dyDescent="0.3">
      <c r="B166" s="78"/>
      <c r="C166" s="78"/>
      <c r="D166" s="78"/>
      <c r="E166" s="78"/>
    </row>
    <row r="167" spans="2:5" x14ac:dyDescent="0.3">
      <c r="B167" s="78"/>
      <c r="C167" s="78"/>
      <c r="D167" s="78"/>
      <c r="E167" s="78"/>
    </row>
    <row r="168" spans="2:5" x14ac:dyDescent="0.3">
      <c r="B168" s="78"/>
      <c r="C168" s="78"/>
      <c r="D168" s="78"/>
      <c r="E168" s="78"/>
    </row>
    <row r="169" spans="2:5" x14ac:dyDescent="0.3">
      <c r="B169" s="78"/>
      <c r="C169" s="78"/>
      <c r="D169" s="78"/>
      <c r="E169" s="78"/>
    </row>
    <row r="170" spans="2:5" x14ac:dyDescent="0.3">
      <c r="B170" s="78"/>
      <c r="C170" s="78"/>
      <c r="D170" s="78"/>
      <c r="E170" s="78"/>
    </row>
    <row r="171" spans="2:5" x14ac:dyDescent="0.3">
      <c r="B171" s="78"/>
      <c r="C171" s="78"/>
      <c r="D171" s="78"/>
      <c r="E171" s="78"/>
    </row>
    <row r="172" spans="2:5" x14ac:dyDescent="0.3">
      <c r="B172" s="78"/>
      <c r="C172" s="78"/>
      <c r="D172" s="78"/>
      <c r="E172" s="78"/>
    </row>
    <row r="173" spans="2:5" x14ac:dyDescent="0.3">
      <c r="B173" s="78"/>
      <c r="C173" s="78"/>
      <c r="D173" s="78"/>
      <c r="E173" s="78"/>
    </row>
    <row r="174" spans="2:5" x14ac:dyDescent="0.3">
      <c r="B174" s="78"/>
      <c r="C174" s="78"/>
      <c r="D174" s="78"/>
      <c r="E174" s="78"/>
    </row>
    <row r="175" spans="2:5" x14ac:dyDescent="0.3">
      <c r="B175" s="78"/>
      <c r="C175" s="78"/>
      <c r="D175" s="78"/>
      <c r="E175" s="78"/>
    </row>
    <row r="176" spans="2:5" x14ac:dyDescent="0.3">
      <c r="B176" s="78"/>
      <c r="C176" s="78"/>
      <c r="D176" s="78"/>
      <c r="E176" s="78"/>
    </row>
    <row r="177" spans="2:5" x14ac:dyDescent="0.3">
      <c r="B177" s="78"/>
      <c r="C177" s="78"/>
      <c r="D177" s="78"/>
      <c r="E177" s="78"/>
    </row>
    <row r="178" spans="2:5" x14ac:dyDescent="0.3">
      <c r="B178" s="78"/>
      <c r="C178" s="78"/>
      <c r="D178" s="78"/>
      <c r="E178" s="78"/>
    </row>
    <row r="179" spans="2:5" x14ac:dyDescent="0.3">
      <c r="B179" s="78"/>
      <c r="C179" s="78"/>
      <c r="D179" s="78"/>
      <c r="E179" s="78"/>
    </row>
    <row r="180" spans="2:5" x14ac:dyDescent="0.3">
      <c r="B180" s="78"/>
      <c r="C180" s="78"/>
      <c r="D180" s="78"/>
      <c r="E180" s="78"/>
    </row>
    <row r="181" spans="2:5" x14ac:dyDescent="0.3">
      <c r="B181" s="78"/>
      <c r="C181" s="78"/>
      <c r="D181" s="78"/>
      <c r="E181" s="78"/>
    </row>
    <row r="182" spans="2:5" x14ac:dyDescent="0.3">
      <c r="B182" s="78"/>
      <c r="C182" s="78"/>
      <c r="D182" s="78"/>
      <c r="E182" s="78"/>
    </row>
    <row r="183" spans="2:5" x14ac:dyDescent="0.3">
      <c r="B183" s="78"/>
      <c r="C183" s="78"/>
      <c r="D183" s="78"/>
      <c r="E183" s="78"/>
    </row>
    <row r="184" spans="2:5" x14ac:dyDescent="0.3">
      <c r="B184" s="78"/>
      <c r="C184" s="78"/>
      <c r="D184" s="78"/>
      <c r="E184" s="78"/>
    </row>
    <row r="185" spans="2:5" x14ac:dyDescent="0.3">
      <c r="B185" s="78"/>
      <c r="C185" s="78"/>
      <c r="D185" s="78"/>
      <c r="E185" s="78"/>
    </row>
    <row r="186" spans="2:5" x14ac:dyDescent="0.3">
      <c r="B186" s="78"/>
      <c r="C186" s="78"/>
      <c r="D186" s="78"/>
      <c r="E186" s="78"/>
    </row>
    <row r="187" spans="2:5" x14ac:dyDescent="0.3">
      <c r="B187" s="78"/>
      <c r="C187" s="78"/>
      <c r="D187" s="78"/>
      <c r="E187" s="78"/>
    </row>
    <row r="188" spans="2:5" x14ac:dyDescent="0.3">
      <c r="B188" s="78"/>
      <c r="C188" s="78"/>
      <c r="D188" s="78"/>
      <c r="E188" s="78"/>
    </row>
    <row r="189" spans="2:5" x14ac:dyDescent="0.3">
      <c r="B189" s="78"/>
      <c r="C189" s="78"/>
      <c r="D189" s="78"/>
      <c r="E189" s="78"/>
    </row>
    <row r="190" spans="2:5" x14ac:dyDescent="0.3">
      <c r="B190" s="78"/>
      <c r="C190" s="78"/>
      <c r="D190" s="78"/>
      <c r="E190" s="78"/>
    </row>
    <row r="191" spans="2:5" x14ac:dyDescent="0.3">
      <c r="B191" s="78"/>
      <c r="C191" s="78"/>
      <c r="D191" s="78"/>
      <c r="E191" s="78"/>
    </row>
    <row r="192" spans="2:5" x14ac:dyDescent="0.3">
      <c r="B192" s="78"/>
      <c r="C192" s="78"/>
      <c r="D192" s="78"/>
      <c r="E192" s="78"/>
    </row>
    <row r="193" spans="2:5" x14ac:dyDescent="0.3">
      <c r="B193" s="78"/>
      <c r="C193" s="78"/>
      <c r="D193" s="78"/>
      <c r="E193" s="78"/>
    </row>
    <row r="194" spans="2:5" x14ac:dyDescent="0.3">
      <c r="B194" s="78"/>
      <c r="C194" s="78"/>
      <c r="D194" s="78"/>
      <c r="E194" s="78"/>
    </row>
    <row r="195" spans="2:5" x14ac:dyDescent="0.3">
      <c r="B195" s="78"/>
      <c r="C195" s="78"/>
      <c r="D195" s="78"/>
      <c r="E195" s="78"/>
    </row>
    <row r="196" spans="2:5" x14ac:dyDescent="0.3">
      <c r="B196" s="78"/>
      <c r="C196" s="78"/>
      <c r="D196" s="78"/>
      <c r="E196" s="78"/>
    </row>
    <row r="197" spans="2:5" x14ac:dyDescent="0.3">
      <c r="B197" s="78"/>
      <c r="C197" s="78"/>
      <c r="D197" s="78"/>
      <c r="E197" s="78"/>
    </row>
    <row r="198" spans="2:5" x14ac:dyDescent="0.3">
      <c r="B198" s="78"/>
      <c r="C198" s="78"/>
      <c r="D198" s="78"/>
      <c r="E198" s="78"/>
    </row>
    <row r="199" spans="2:5" x14ac:dyDescent="0.3">
      <c r="B199" s="78"/>
      <c r="C199" s="78"/>
      <c r="D199" s="78"/>
      <c r="E199" s="78"/>
    </row>
    <row r="200" spans="2:5" x14ac:dyDescent="0.3">
      <c r="B200" s="78"/>
      <c r="C200" s="78"/>
      <c r="D200" s="78"/>
      <c r="E200" s="78"/>
    </row>
    <row r="201" spans="2:5" x14ac:dyDescent="0.3">
      <c r="B201" s="78"/>
      <c r="C201" s="78"/>
      <c r="D201" s="78"/>
      <c r="E201" s="78"/>
    </row>
    <row r="202" spans="2:5" x14ac:dyDescent="0.3">
      <c r="B202" s="78"/>
      <c r="C202" s="78"/>
      <c r="D202" s="78"/>
      <c r="E202" s="78"/>
    </row>
    <row r="203" spans="2:5" x14ac:dyDescent="0.3">
      <c r="B203" s="78"/>
      <c r="C203" s="78"/>
      <c r="D203" s="78"/>
      <c r="E203" s="78"/>
    </row>
    <row r="204" spans="2:5" x14ac:dyDescent="0.3">
      <c r="B204" s="78"/>
      <c r="C204" s="78"/>
      <c r="D204" s="78"/>
      <c r="E204" s="78"/>
    </row>
    <row r="205" spans="2:5" x14ac:dyDescent="0.3">
      <c r="B205" s="78"/>
      <c r="C205" s="78"/>
      <c r="D205" s="78"/>
      <c r="E205" s="78"/>
    </row>
    <row r="206" spans="2:5" x14ac:dyDescent="0.3">
      <c r="B206" s="78"/>
      <c r="C206" s="78"/>
      <c r="D206" s="78"/>
      <c r="E206" s="78"/>
    </row>
    <row r="207" spans="2:5" x14ac:dyDescent="0.3">
      <c r="B207" s="78"/>
      <c r="C207" s="78"/>
      <c r="D207" s="78"/>
      <c r="E207" s="78"/>
    </row>
    <row r="208" spans="2:5" x14ac:dyDescent="0.3">
      <c r="B208" s="78"/>
      <c r="C208" s="78"/>
      <c r="D208" s="78"/>
      <c r="E208" s="78"/>
    </row>
    <row r="209" spans="2:5" x14ac:dyDescent="0.3">
      <c r="B209" s="78"/>
      <c r="C209" s="78"/>
      <c r="D209" s="78"/>
      <c r="E209" s="78"/>
    </row>
    <row r="210" spans="2:5" x14ac:dyDescent="0.3">
      <c r="B210" s="78"/>
      <c r="C210" s="78"/>
      <c r="D210" s="78"/>
      <c r="E210" s="78"/>
    </row>
    <row r="211" spans="2:5" x14ac:dyDescent="0.3">
      <c r="B211" s="78"/>
      <c r="C211" s="78"/>
      <c r="D211" s="78"/>
      <c r="E211" s="78"/>
    </row>
    <row r="212" spans="2:5" x14ac:dyDescent="0.3">
      <c r="B212" s="78"/>
      <c r="C212" s="78"/>
      <c r="D212" s="78"/>
      <c r="E212" s="78"/>
    </row>
    <row r="213" spans="2:5" x14ac:dyDescent="0.3">
      <c r="B213" s="78"/>
      <c r="C213" s="78"/>
      <c r="D213" s="78"/>
      <c r="E213" s="78"/>
    </row>
    <row r="214" spans="2:5" x14ac:dyDescent="0.3">
      <c r="B214" s="78"/>
      <c r="C214" s="78"/>
      <c r="D214" s="78"/>
      <c r="E214" s="78"/>
    </row>
    <row r="215" spans="2:5" x14ac:dyDescent="0.3">
      <c r="B215" s="78"/>
      <c r="C215" s="78"/>
      <c r="D215" s="78"/>
      <c r="E215" s="78"/>
    </row>
    <row r="216" spans="2:5" x14ac:dyDescent="0.3">
      <c r="B216" s="78"/>
      <c r="C216" s="78"/>
      <c r="D216" s="78"/>
      <c r="E216" s="78"/>
    </row>
    <row r="217" spans="2:5" x14ac:dyDescent="0.3">
      <c r="B217" s="78"/>
      <c r="C217" s="78"/>
      <c r="D217" s="78"/>
      <c r="E217" s="78"/>
    </row>
    <row r="218" spans="2:5" x14ac:dyDescent="0.3">
      <c r="B218" s="78"/>
      <c r="C218" s="78"/>
      <c r="D218" s="78"/>
      <c r="E218" s="78"/>
    </row>
    <row r="219" spans="2:5" x14ac:dyDescent="0.3">
      <c r="B219" s="78"/>
      <c r="C219" s="78"/>
      <c r="D219" s="78"/>
      <c r="E219" s="78"/>
    </row>
    <row r="220" spans="2:5" x14ac:dyDescent="0.3">
      <c r="B220" s="78"/>
      <c r="C220" s="78"/>
      <c r="D220" s="78"/>
      <c r="E220" s="78"/>
    </row>
    <row r="221" spans="2:5" x14ac:dyDescent="0.3">
      <c r="B221" s="78"/>
      <c r="C221" s="78"/>
      <c r="D221" s="78"/>
      <c r="E221" s="78"/>
    </row>
    <row r="222" spans="2:5" x14ac:dyDescent="0.3">
      <c r="B222" s="78"/>
      <c r="C222" s="78"/>
      <c r="D222" s="78"/>
      <c r="E222" s="78"/>
    </row>
    <row r="223" spans="2:5" x14ac:dyDescent="0.3">
      <c r="B223" s="78"/>
      <c r="C223" s="78"/>
      <c r="D223" s="78"/>
      <c r="E223" s="78"/>
    </row>
    <row r="224" spans="2:5" x14ac:dyDescent="0.3">
      <c r="B224" s="78"/>
      <c r="C224" s="78"/>
      <c r="D224" s="78"/>
      <c r="E224" s="78"/>
    </row>
    <row r="225" spans="2:5" x14ac:dyDescent="0.3">
      <c r="B225" s="78"/>
      <c r="C225" s="78"/>
      <c r="D225" s="78"/>
      <c r="E225" s="78"/>
    </row>
    <row r="226" spans="2:5" x14ac:dyDescent="0.3">
      <c r="B226" s="78"/>
      <c r="C226" s="78"/>
      <c r="D226" s="78"/>
      <c r="E226" s="78"/>
    </row>
    <row r="227" spans="2:5" x14ac:dyDescent="0.3">
      <c r="B227" s="78"/>
      <c r="C227" s="78"/>
      <c r="D227" s="78"/>
      <c r="E227" s="78"/>
    </row>
    <row r="228" spans="2:5" x14ac:dyDescent="0.3">
      <c r="B228" s="78"/>
      <c r="C228" s="78"/>
      <c r="D228" s="78"/>
      <c r="E228" s="78"/>
    </row>
    <row r="229" spans="2:5" x14ac:dyDescent="0.3">
      <c r="B229" s="78"/>
      <c r="C229" s="78"/>
      <c r="D229" s="78"/>
      <c r="E229" s="78"/>
    </row>
    <row r="230" spans="2:5" x14ac:dyDescent="0.3">
      <c r="B230" s="78"/>
      <c r="C230" s="78"/>
      <c r="D230" s="78"/>
      <c r="E230" s="78"/>
    </row>
    <row r="231" spans="2:5" x14ac:dyDescent="0.3">
      <c r="B231" s="78"/>
      <c r="C231" s="78"/>
      <c r="D231" s="78"/>
      <c r="E231" s="78"/>
    </row>
    <row r="232" spans="2:5" x14ac:dyDescent="0.3">
      <c r="B232" s="78"/>
      <c r="C232" s="78"/>
      <c r="D232" s="78"/>
      <c r="E232" s="78"/>
    </row>
    <row r="233" spans="2:5" x14ac:dyDescent="0.3">
      <c r="B233" s="78"/>
      <c r="C233" s="78"/>
      <c r="D233" s="78"/>
      <c r="E233" s="78"/>
    </row>
    <row r="234" spans="2:5" x14ac:dyDescent="0.3">
      <c r="B234" s="78"/>
      <c r="C234" s="78"/>
      <c r="D234" s="78"/>
      <c r="E234" s="78"/>
    </row>
    <row r="235" spans="2:5" x14ac:dyDescent="0.3">
      <c r="B235" s="78"/>
      <c r="C235" s="78"/>
      <c r="D235" s="78"/>
      <c r="E235" s="78"/>
    </row>
    <row r="236" spans="2:5" x14ac:dyDescent="0.3">
      <c r="B236" s="78"/>
      <c r="C236" s="78"/>
      <c r="D236" s="78"/>
      <c r="E236" s="78"/>
    </row>
    <row r="237" spans="2:5" x14ac:dyDescent="0.3">
      <c r="B237" s="78"/>
      <c r="C237" s="78"/>
      <c r="D237" s="78"/>
      <c r="E237" s="78"/>
    </row>
    <row r="238" spans="2:5" x14ac:dyDescent="0.3">
      <c r="B238" s="78"/>
      <c r="C238" s="78"/>
      <c r="D238" s="78"/>
      <c r="E238" s="78"/>
    </row>
    <row r="239" spans="2:5" x14ac:dyDescent="0.3">
      <c r="B239" s="78"/>
      <c r="C239" s="78"/>
      <c r="D239" s="78"/>
      <c r="E239" s="78"/>
    </row>
    <row r="240" spans="2:5" x14ac:dyDescent="0.3">
      <c r="B240" s="78"/>
      <c r="C240" s="78"/>
      <c r="D240" s="78"/>
      <c r="E240" s="78"/>
    </row>
    <row r="241" spans="2:5" x14ac:dyDescent="0.3">
      <c r="B241" s="78"/>
      <c r="C241" s="78"/>
      <c r="D241" s="78"/>
      <c r="E241" s="78"/>
    </row>
    <row r="242" spans="2:5" x14ac:dyDescent="0.3">
      <c r="B242" s="78"/>
      <c r="C242" s="78"/>
      <c r="D242" s="78"/>
      <c r="E242" s="78"/>
    </row>
    <row r="243" spans="2:5" x14ac:dyDescent="0.3">
      <c r="B243" s="78"/>
      <c r="C243" s="78"/>
      <c r="D243" s="78"/>
      <c r="E243" s="78"/>
    </row>
    <row r="244" spans="2:5" x14ac:dyDescent="0.3">
      <c r="B244" s="78"/>
      <c r="C244" s="78"/>
      <c r="D244" s="78"/>
      <c r="E244" s="78"/>
    </row>
    <row r="245" spans="2:5" x14ac:dyDescent="0.3">
      <c r="B245" s="78"/>
      <c r="C245" s="78"/>
      <c r="D245" s="78"/>
      <c r="E245" s="78"/>
    </row>
    <row r="246" spans="2:5" x14ac:dyDescent="0.3">
      <c r="B246" s="78"/>
      <c r="C246" s="78"/>
      <c r="D246" s="78"/>
      <c r="E246" s="78"/>
    </row>
    <row r="247" spans="2:5" x14ac:dyDescent="0.3">
      <c r="B247" s="78"/>
      <c r="C247" s="78"/>
      <c r="D247" s="78"/>
      <c r="E247" s="78"/>
    </row>
    <row r="248" spans="2:5" x14ac:dyDescent="0.3">
      <c r="B248" s="78"/>
      <c r="C248" s="78"/>
      <c r="D248" s="78"/>
      <c r="E248" s="78"/>
    </row>
    <row r="249" spans="2:5" x14ac:dyDescent="0.3">
      <c r="B249" s="78"/>
      <c r="C249" s="78"/>
      <c r="D249" s="78"/>
      <c r="E249" s="78"/>
    </row>
    <row r="250" spans="2:5" x14ac:dyDescent="0.3">
      <c r="B250" s="78"/>
      <c r="C250" s="78"/>
      <c r="D250" s="78"/>
      <c r="E250" s="78"/>
    </row>
    <row r="251" spans="2:5" x14ac:dyDescent="0.3">
      <c r="B251" s="78"/>
      <c r="C251" s="78"/>
      <c r="D251" s="78"/>
      <c r="E251" s="78"/>
    </row>
    <row r="252" spans="2:5" x14ac:dyDescent="0.3">
      <c r="B252" s="78"/>
      <c r="C252" s="78"/>
      <c r="D252" s="78"/>
      <c r="E252" s="78"/>
    </row>
    <row r="253" spans="2:5" x14ac:dyDescent="0.3">
      <c r="B253" s="78"/>
      <c r="C253" s="78"/>
      <c r="D253" s="78"/>
      <c r="E253" s="78"/>
    </row>
    <row r="254" spans="2:5" x14ac:dyDescent="0.3">
      <c r="B254" s="78"/>
      <c r="C254" s="78"/>
      <c r="D254" s="78"/>
      <c r="E254" s="78"/>
    </row>
    <row r="255" spans="2:5" x14ac:dyDescent="0.3">
      <c r="B255" s="78"/>
      <c r="C255" s="78"/>
      <c r="D255" s="78"/>
      <c r="E255" s="78"/>
    </row>
    <row r="256" spans="2:5" x14ac:dyDescent="0.3">
      <c r="B256" s="78"/>
      <c r="C256" s="78"/>
      <c r="D256" s="78"/>
      <c r="E256" s="78"/>
    </row>
    <row r="257" spans="2:5" x14ac:dyDescent="0.3">
      <c r="B257" s="78"/>
      <c r="C257" s="78"/>
      <c r="D257" s="78"/>
      <c r="E257" s="78"/>
    </row>
    <row r="258" spans="2:5" x14ac:dyDescent="0.3">
      <c r="B258" s="78"/>
      <c r="C258" s="78"/>
      <c r="D258" s="78"/>
      <c r="E258" s="78"/>
    </row>
    <row r="259" spans="2:5" x14ac:dyDescent="0.3">
      <c r="B259" s="78"/>
      <c r="C259" s="78"/>
      <c r="D259" s="78"/>
      <c r="E259" s="78"/>
    </row>
    <row r="260" spans="2:5" x14ac:dyDescent="0.3">
      <c r="B260" s="78"/>
      <c r="C260" s="78"/>
      <c r="D260" s="78"/>
      <c r="E260" s="78"/>
    </row>
    <row r="261" spans="2:5" x14ac:dyDescent="0.3">
      <c r="B261" s="78"/>
      <c r="C261" s="78"/>
      <c r="D261" s="78"/>
      <c r="E261" s="78"/>
    </row>
    <row r="262" spans="2:5" x14ac:dyDescent="0.3">
      <c r="B262" s="78"/>
      <c r="C262" s="78"/>
      <c r="D262" s="78"/>
      <c r="E262" s="78"/>
    </row>
    <row r="263" spans="2:5" x14ac:dyDescent="0.3">
      <c r="B263" s="78"/>
      <c r="C263" s="78"/>
      <c r="D263" s="78"/>
      <c r="E263" s="78"/>
    </row>
    <row r="264" spans="2:5" x14ac:dyDescent="0.3">
      <c r="B264" s="78"/>
      <c r="C264" s="78"/>
      <c r="D264" s="78"/>
      <c r="E264" s="78"/>
    </row>
    <row r="265" spans="2:5" x14ac:dyDescent="0.3">
      <c r="B265" s="78"/>
      <c r="C265" s="78"/>
      <c r="D265" s="78"/>
      <c r="E265" s="78"/>
    </row>
    <row r="266" spans="2:5" x14ac:dyDescent="0.3">
      <c r="B266" s="78"/>
      <c r="C266" s="78"/>
      <c r="D266" s="78"/>
      <c r="E266" s="78"/>
    </row>
    <row r="267" spans="2:5" x14ac:dyDescent="0.3">
      <c r="B267" s="78"/>
      <c r="C267" s="78"/>
      <c r="D267" s="78"/>
      <c r="E267" s="78"/>
    </row>
    <row r="268" spans="2:5" x14ac:dyDescent="0.3">
      <c r="B268" s="78"/>
      <c r="C268" s="78"/>
      <c r="D268" s="78"/>
      <c r="E268" s="78"/>
    </row>
    <row r="269" spans="2:5" x14ac:dyDescent="0.3">
      <c r="B269" s="78"/>
      <c r="C269" s="78"/>
      <c r="D269" s="78"/>
      <c r="E269" s="78"/>
    </row>
    <row r="270" spans="2:5" x14ac:dyDescent="0.3">
      <c r="B270" s="78"/>
      <c r="C270" s="78"/>
      <c r="D270" s="78"/>
      <c r="E270" s="78"/>
    </row>
    <row r="271" spans="2:5" x14ac:dyDescent="0.3">
      <c r="B271" s="78"/>
      <c r="C271" s="78"/>
      <c r="D271" s="78"/>
      <c r="E271" s="78"/>
    </row>
    <row r="272" spans="2:5" x14ac:dyDescent="0.3">
      <c r="B272" s="78"/>
      <c r="C272" s="78"/>
      <c r="D272" s="78"/>
      <c r="E272" s="78"/>
    </row>
    <row r="273" spans="2:5" x14ac:dyDescent="0.3">
      <c r="B273" s="78"/>
      <c r="C273" s="78"/>
      <c r="D273" s="78"/>
      <c r="E273" s="78"/>
    </row>
    <row r="274" spans="2:5" x14ac:dyDescent="0.3">
      <c r="B274" s="78"/>
      <c r="C274" s="78"/>
      <c r="D274" s="78"/>
      <c r="E274" s="78"/>
    </row>
    <row r="275" spans="2:5" x14ac:dyDescent="0.3">
      <c r="B275" s="78"/>
      <c r="C275" s="78"/>
      <c r="D275" s="78"/>
      <c r="E275" s="78"/>
    </row>
    <row r="276" spans="2:5" x14ac:dyDescent="0.3">
      <c r="B276" s="78"/>
      <c r="C276" s="78"/>
      <c r="D276" s="78"/>
      <c r="E276" s="78"/>
    </row>
    <row r="277" spans="2:5" x14ac:dyDescent="0.3">
      <c r="B277" s="78"/>
      <c r="C277" s="78"/>
      <c r="D277" s="78"/>
      <c r="E277" s="78"/>
    </row>
    <row r="278" spans="2:5" x14ac:dyDescent="0.3">
      <c r="B278" s="78"/>
      <c r="C278" s="78"/>
      <c r="D278" s="78"/>
      <c r="E278" s="78"/>
    </row>
    <row r="279" spans="2:5" x14ac:dyDescent="0.3">
      <c r="B279" s="78"/>
      <c r="C279" s="78"/>
      <c r="D279" s="78"/>
      <c r="E279" s="78"/>
    </row>
    <row r="280" spans="2:5" x14ac:dyDescent="0.3">
      <c r="B280" s="78"/>
      <c r="C280" s="78"/>
      <c r="D280" s="78"/>
      <c r="E280" s="78"/>
    </row>
    <row r="281" spans="2:5" x14ac:dyDescent="0.3">
      <c r="B281" s="78"/>
      <c r="C281" s="78"/>
      <c r="D281" s="78"/>
      <c r="E281" s="78"/>
    </row>
    <row r="282" spans="2:5" x14ac:dyDescent="0.3">
      <c r="B282" s="78"/>
      <c r="C282" s="78"/>
      <c r="D282" s="78"/>
      <c r="E282" s="78"/>
    </row>
    <row r="283" spans="2:5" x14ac:dyDescent="0.3">
      <c r="B283" s="78"/>
      <c r="C283" s="78"/>
      <c r="D283" s="78"/>
      <c r="E283" s="78"/>
    </row>
    <row r="284" spans="2:5" x14ac:dyDescent="0.3">
      <c r="B284" s="78"/>
      <c r="C284" s="78"/>
      <c r="D284" s="78"/>
      <c r="E284" s="78"/>
    </row>
    <row r="285" spans="2:5" x14ac:dyDescent="0.3">
      <c r="B285" s="78"/>
      <c r="C285" s="78"/>
      <c r="D285" s="78"/>
      <c r="E285" s="78"/>
    </row>
    <row r="286" spans="2:5" x14ac:dyDescent="0.3">
      <c r="B286" s="78"/>
      <c r="C286" s="78"/>
      <c r="D286" s="78"/>
      <c r="E286" s="78"/>
    </row>
    <row r="287" spans="2:5" x14ac:dyDescent="0.3">
      <c r="B287" s="78"/>
      <c r="C287" s="78"/>
      <c r="D287" s="78"/>
      <c r="E287" s="78"/>
    </row>
    <row r="288" spans="2:5" x14ac:dyDescent="0.3">
      <c r="B288" s="78"/>
      <c r="C288" s="78"/>
      <c r="D288" s="78"/>
      <c r="E288" s="78"/>
    </row>
    <row r="289" spans="2:5" x14ac:dyDescent="0.3">
      <c r="B289" s="78"/>
      <c r="C289" s="78"/>
      <c r="D289" s="78"/>
      <c r="E289" s="78"/>
    </row>
    <row r="290" spans="2:5" x14ac:dyDescent="0.3">
      <c r="B290" s="78"/>
      <c r="C290" s="78"/>
      <c r="D290" s="78"/>
      <c r="E290" s="78"/>
    </row>
    <row r="291" spans="2:5" x14ac:dyDescent="0.3">
      <c r="B291" s="78"/>
      <c r="C291" s="78"/>
      <c r="D291" s="78"/>
      <c r="E291" s="78"/>
    </row>
    <row r="292" spans="2:5" x14ac:dyDescent="0.3">
      <c r="B292" s="78"/>
      <c r="C292" s="78"/>
      <c r="D292" s="78"/>
      <c r="E292" s="78"/>
    </row>
    <row r="293" spans="2:5" x14ac:dyDescent="0.3">
      <c r="B293" s="78"/>
      <c r="C293" s="78"/>
      <c r="D293" s="78"/>
      <c r="E293" s="78"/>
    </row>
    <row r="294" spans="2:5" x14ac:dyDescent="0.3">
      <c r="B294" s="78"/>
      <c r="C294" s="78"/>
      <c r="D294" s="78"/>
      <c r="E294" s="78"/>
    </row>
    <row r="295" spans="2:5" x14ac:dyDescent="0.3">
      <c r="B295" s="78"/>
      <c r="C295" s="78"/>
      <c r="D295" s="78"/>
      <c r="E295" s="78"/>
    </row>
    <row r="296" spans="2:5" x14ac:dyDescent="0.3">
      <c r="B296" s="78"/>
      <c r="C296" s="78"/>
      <c r="D296" s="78"/>
      <c r="E296" s="78"/>
    </row>
    <row r="297" spans="2:5" x14ac:dyDescent="0.3">
      <c r="B297" s="78"/>
      <c r="C297" s="78"/>
      <c r="D297" s="78"/>
      <c r="E297" s="78"/>
    </row>
    <row r="298" spans="2:5" x14ac:dyDescent="0.3">
      <c r="B298" s="78"/>
      <c r="C298" s="78"/>
      <c r="D298" s="78"/>
      <c r="E298" s="78"/>
    </row>
    <row r="299" spans="2:5" x14ac:dyDescent="0.3">
      <c r="B299" s="78"/>
      <c r="C299" s="78"/>
      <c r="D299" s="78"/>
      <c r="E299" s="78"/>
    </row>
    <row r="300" spans="2:5" x14ac:dyDescent="0.3">
      <c r="B300" s="78"/>
      <c r="C300" s="78"/>
      <c r="D300" s="78"/>
      <c r="E300" s="78"/>
    </row>
    <row r="301" spans="2:5" x14ac:dyDescent="0.3">
      <c r="B301" s="78"/>
      <c r="C301" s="78"/>
      <c r="D301" s="78"/>
      <c r="E301" s="78"/>
    </row>
    <row r="302" spans="2:5" x14ac:dyDescent="0.3">
      <c r="B302" s="78"/>
      <c r="C302" s="78"/>
      <c r="D302" s="78"/>
      <c r="E302" s="78"/>
    </row>
    <row r="303" spans="2:5" x14ac:dyDescent="0.3">
      <c r="B303" s="78"/>
      <c r="C303" s="78"/>
      <c r="D303" s="78"/>
      <c r="E303" s="78"/>
    </row>
    <row r="304" spans="2:5" x14ac:dyDescent="0.3">
      <c r="B304" s="78"/>
      <c r="C304" s="78"/>
      <c r="D304" s="78"/>
      <c r="E304" s="78"/>
    </row>
    <row r="305" spans="2:5" x14ac:dyDescent="0.3">
      <c r="B305" s="78"/>
      <c r="C305" s="78"/>
      <c r="D305" s="78"/>
      <c r="E305" s="78"/>
    </row>
    <row r="306" spans="2:5" x14ac:dyDescent="0.3">
      <c r="B306" s="78"/>
      <c r="C306" s="78"/>
      <c r="D306" s="78"/>
      <c r="E306" s="78"/>
    </row>
    <row r="307" spans="2:5" x14ac:dyDescent="0.3">
      <c r="B307" s="78"/>
      <c r="C307" s="78"/>
      <c r="D307" s="78"/>
      <c r="E307" s="78"/>
    </row>
    <row r="308" spans="2:5" x14ac:dyDescent="0.3">
      <c r="B308" s="78"/>
      <c r="C308" s="78"/>
      <c r="D308" s="78"/>
      <c r="E308" s="78"/>
    </row>
    <row r="309" spans="2:5" x14ac:dyDescent="0.3">
      <c r="B309" s="78"/>
      <c r="C309" s="78"/>
      <c r="D309" s="78"/>
      <c r="E309" s="78"/>
    </row>
    <row r="310" spans="2:5" x14ac:dyDescent="0.3">
      <c r="B310" s="78"/>
      <c r="C310" s="78"/>
      <c r="D310" s="78"/>
      <c r="E310" s="78"/>
    </row>
    <row r="311" spans="2:5" x14ac:dyDescent="0.3">
      <c r="B311" s="78"/>
      <c r="C311" s="78"/>
      <c r="D311" s="78"/>
      <c r="E311" s="78"/>
    </row>
    <row r="312" spans="2:5" x14ac:dyDescent="0.3">
      <c r="B312" s="78"/>
      <c r="C312" s="78"/>
      <c r="D312" s="78"/>
      <c r="E312" s="78"/>
    </row>
    <row r="313" spans="2:5" x14ac:dyDescent="0.3">
      <c r="B313" s="78"/>
      <c r="C313" s="78"/>
      <c r="D313" s="78"/>
      <c r="E313" s="78"/>
    </row>
    <row r="314" spans="2:5" x14ac:dyDescent="0.3">
      <c r="B314" s="78"/>
      <c r="C314" s="78"/>
      <c r="D314" s="78"/>
      <c r="E314" s="78"/>
    </row>
    <row r="315" spans="2:5" x14ac:dyDescent="0.3">
      <c r="B315" s="78"/>
      <c r="C315" s="78"/>
      <c r="D315" s="78"/>
      <c r="E315" s="78"/>
    </row>
    <row r="316" spans="2:5" x14ac:dyDescent="0.3">
      <c r="B316" s="78"/>
      <c r="C316" s="78"/>
      <c r="D316" s="78"/>
      <c r="E316" s="78"/>
    </row>
    <row r="317" spans="2:5" x14ac:dyDescent="0.3">
      <c r="B317" s="78"/>
      <c r="C317" s="78"/>
      <c r="D317" s="78"/>
      <c r="E317" s="78"/>
    </row>
    <row r="318" spans="2:5" x14ac:dyDescent="0.3">
      <c r="B318" s="78"/>
      <c r="C318" s="78"/>
      <c r="D318" s="78"/>
      <c r="E318" s="78"/>
    </row>
    <row r="319" spans="2:5" x14ac:dyDescent="0.3">
      <c r="B319" s="78"/>
      <c r="C319" s="78"/>
      <c r="D319" s="78"/>
      <c r="E319" s="78"/>
    </row>
    <row r="320" spans="2:5" x14ac:dyDescent="0.3">
      <c r="B320" s="78"/>
      <c r="C320" s="78"/>
      <c r="D320" s="78"/>
      <c r="E320" s="78"/>
    </row>
    <row r="321" spans="2:5" x14ac:dyDescent="0.3">
      <c r="B321" s="78"/>
      <c r="C321" s="78"/>
      <c r="D321" s="78"/>
      <c r="E321" s="78"/>
    </row>
    <row r="322" spans="2:5" x14ac:dyDescent="0.3">
      <c r="B322" s="78"/>
      <c r="C322" s="78"/>
      <c r="D322" s="78"/>
      <c r="E322" s="78"/>
    </row>
    <row r="323" spans="2:5" x14ac:dyDescent="0.3">
      <c r="B323" s="78"/>
      <c r="C323" s="78"/>
      <c r="D323" s="78"/>
      <c r="E323" s="78"/>
    </row>
    <row r="324" spans="2:5" x14ac:dyDescent="0.3">
      <c r="B324" s="78"/>
      <c r="C324" s="78"/>
      <c r="D324" s="78"/>
      <c r="E324" s="78"/>
    </row>
    <row r="325" spans="2:5" x14ac:dyDescent="0.3">
      <c r="B325" s="78"/>
      <c r="C325" s="78"/>
      <c r="D325" s="78"/>
      <c r="E325" s="78"/>
    </row>
    <row r="326" spans="2:5" x14ac:dyDescent="0.3">
      <c r="B326" s="78"/>
      <c r="C326" s="78"/>
      <c r="D326" s="78"/>
      <c r="E326" s="78"/>
    </row>
    <row r="327" spans="2:5" x14ac:dyDescent="0.3">
      <c r="B327" s="78"/>
      <c r="C327" s="78"/>
      <c r="D327" s="78"/>
      <c r="E327" s="78"/>
    </row>
    <row r="328" spans="2:5" x14ac:dyDescent="0.3">
      <c r="B328" s="78"/>
      <c r="C328" s="78"/>
      <c r="D328" s="78"/>
      <c r="E328" s="78"/>
    </row>
    <row r="329" spans="2:5" x14ac:dyDescent="0.3">
      <c r="B329" s="78"/>
      <c r="C329" s="78"/>
      <c r="D329" s="78"/>
      <c r="E329" s="78"/>
    </row>
    <row r="330" spans="2:5" x14ac:dyDescent="0.3">
      <c r="B330" s="78"/>
      <c r="C330" s="78"/>
      <c r="D330" s="78"/>
      <c r="E330" s="78"/>
    </row>
    <row r="331" spans="2:5" x14ac:dyDescent="0.3">
      <c r="B331" s="78"/>
      <c r="C331" s="78"/>
      <c r="D331" s="78"/>
      <c r="E331" s="78"/>
    </row>
    <row r="332" spans="2:5" x14ac:dyDescent="0.3">
      <c r="B332" s="78"/>
      <c r="C332" s="78"/>
      <c r="D332" s="78"/>
      <c r="E332" s="78"/>
    </row>
    <row r="333" spans="2:5" x14ac:dyDescent="0.3">
      <c r="B333" s="78"/>
      <c r="C333" s="78"/>
      <c r="D333" s="78"/>
      <c r="E333" s="78"/>
    </row>
    <row r="334" spans="2:5" x14ac:dyDescent="0.3">
      <c r="B334" s="78"/>
      <c r="C334" s="78"/>
      <c r="D334" s="78"/>
      <c r="E334" s="78"/>
    </row>
    <row r="335" spans="2:5" x14ac:dyDescent="0.3">
      <c r="B335" s="78"/>
      <c r="C335" s="78"/>
      <c r="D335" s="78"/>
      <c r="E335" s="78"/>
    </row>
    <row r="336" spans="2:5" x14ac:dyDescent="0.3">
      <c r="B336" s="78"/>
      <c r="C336" s="78"/>
      <c r="D336" s="78"/>
      <c r="E336" s="78"/>
    </row>
    <row r="337" spans="2:5" x14ac:dyDescent="0.3">
      <c r="B337" s="78"/>
      <c r="C337" s="78"/>
      <c r="D337" s="78"/>
      <c r="E337" s="78"/>
    </row>
    <row r="338" spans="2:5" x14ac:dyDescent="0.3">
      <c r="B338" s="78"/>
      <c r="C338" s="78"/>
      <c r="D338" s="78"/>
      <c r="E338" s="78"/>
    </row>
    <row r="339" spans="2:5" x14ac:dyDescent="0.3">
      <c r="B339" s="78"/>
      <c r="C339" s="78"/>
      <c r="D339" s="78"/>
      <c r="E339" s="78"/>
    </row>
    <row r="340" spans="2:5" x14ac:dyDescent="0.3">
      <c r="B340" s="78"/>
      <c r="C340" s="78"/>
      <c r="D340" s="78"/>
      <c r="E340" s="78"/>
    </row>
    <row r="341" spans="2:5" x14ac:dyDescent="0.3">
      <c r="B341" s="78"/>
      <c r="C341" s="78"/>
      <c r="D341" s="78"/>
      <c r="E341" s="78"/>
    </row>
    <row r="342" spans="2:5" x14ac:dyDescent="0.3">
      <c r="B342" s="78"/>
      <c r="C342" s="78"/>
      <c r="D342" s="78"/>
      <c r="E342" s="78"/>
    </row>
    <row r="343" spans="2:5" x14ac:dyDescent="0.3">
      <c r="B343" s="78"/>
      <c r="C343" s="78"/>
      <c r="D343" s="78"/>
      <c r="E343" s="78"/>
    </row>
    <row r="344" spans="2:5" x14ac:dyDescent="0.3">
      <c r="B344" s="78"/>
      <c r="C344" s="78"/>
      <c r="D344" s="78"/>
      <c r="E344" s="78"/>
    </row>
    <row r="345" spans="2:5" x14ac:dyDescent="0.3">
      <c r="B345" s="78"/>
      <c r="C345" s="78"/>
      <c r="D345" s="78"/>
      <c r="E345" s="78"/>
    </row>
    <row r="346" spans="2:5" x14ac:dyDescent="0.3">
      <c r="B346" s="78"/>
      <c r="C346" s="78"/>
      <c r="D346" s="78"/>
      <c r="E346" s="78"/>
    </row>
    <row r="347" spans="2:5" x14ac:dyDescent="0.3">
      <c r="B347" s="78"/>
      <c r="C347" s="78"/>
      <c r="D347" s="78"/>
      <c r="E347" s="78"/>
    </row>
    <row r="348" spans="2:5" x14ac:dyDescent="0.3">
      <c r="B348" s="78"/>
      <c r="C348" s="78"/>
      <c r="D348" s="78"/>
      <c r="E348" s="78"/>
    </row>
    <row r="349" spans="2:5" x14ac:dyDescent="0.3">
      <c r="B349" s="78"/>
      <c r="C349" s="78"/>
      <c r="D349" s="78"/>
      <c r="E349" s="78"/>
    </row>
    <row r="350" spans="2:5" x14ac:dyDescent="0.3">
      <c r="B350" s="78"/>
      <c r="C350" s="78"/>
      <c r="D350" s="78"/>
      <c r="E350" s="78"/>
    </row>
    <row r="351" spans="2:5" x14ac:dyDescent="0.3">
      <c r="B351" s="78"/>
      <c r="C351" s="78"/>
      <c r="D351" s="78"/>
      <c r="E351" s="78"/>
    </row>
    <row r="352" spans="2:5" x14ac:dyDescent="0.3">
      <c r="B352" s="78"/>
      <c r="C352" s="78"/>
      <c r="D352" s="78"/>
      <c r="E352" s="78"/>
    </row>
    <row r="353" spans="2:5" x14ac:dyDescent="0.3">
      <c r="B353" s="78"/>
      <c r="C353" s="78"/>
      <c r="D353" s="78"/>
      <c r="E353" s="78"/>
    </row>
    <row r="354" spans="2:5" x14ac:dyDescent="0.3">
      <c r="B354" s="78"/>
      <c r="C354" s="78"/>
      <c r="D354" s="78"/>
      <c r="E354" s="78"/>
    </row>
    <row r="355" spans="2:5" x14ac:dyDescent="0.3">
      <c r="B355" s="78"/>
      <c r="C355" s="78"/>
      <c r="D355" s="78"/>
      <c r="E355" s="78"/>
    </row>
    <row r="356" spans="2:5" x14ac:dyDescent="0.3">
      <c r="B356" s="78"/>
      <c r="C356" s="78"/>
      <c r="D356" s="78"/>
      <c r="E356" s="78"/>
    </row>
    <row r="357" spans="2:5" x14ac:dyDescent="0.3">
      <c r="B357" s="78"/>
      <c r="C357" s="78"/>
      <c r="D357" s="78"/>
      <c r="E357" s="78"/>
    </row>
    <row r="358" spans="2:5" x14ac:dyDescent="0.3">
      <c r="B358" s="78"/>
      <c r="C358" s="78"/>
      <c r="D358" s="78"/>
      <c r="E358" s="78"/>
    </row>
    <row r="359" spans="2:5" x14ac:dyDescent="0.3">
      <c r="B359" s="78"/>
      <c r="C359" s="78"/>
      <c r="D359" s="78"/>
      <c r="E359" s="78"/>
    </row>
    <row r="360" spans="2:5" x14ac:dyDescent="0.3">
      <c r="B360" s="78"/>
      <c r="C360" s="78"/>
      <c r="D360" s="78"/>
      <c r="E360" s="78"/>
    </row>
    <row r="361" spans="2:5" x14ac:dyDescent="0.3">
      <c r="B361" s="78"/>
      <c r="C361" s="78"/>
      <c r="D361" s="78"/>
      <c r="E361" s="78"/>
    </row>
    <row r="362" spans="2:5" x14ac:dyDescent="0.3">
      <c r="B362" s="78"/>
      <c r="C362" s="78"/>
      <c r="D362" s="78"/>
      <c r="E362" s="78"/>
    </row>
    <row r="363" spans="2:5" x14ac:dyDescent="0.3">
      <c r="B363" s="78"/>
      <c r="C363" s="78"/>
      <c r="D363" s="78"/>
      <c r="E363" s="78"/>
    </row>
    <row r="364" spans="2:5" x14ac:dyDescent="0.3">
      <c r="B364" s="78"/>
      <c r="C364" s="78"/>
      <c r="D364" s="78"/>
      <c r="E364" s="78"/>
    </row>
    <row r="365" spans="2:5" x14ac:dyDescent="0.3">
      <c r="B365" s="78"/>
      <c r="C365" s="78"/>
      <c r="D365" s="78"/>
      <c r="E365" s="78"/>
    </row>
    <row r="366" spans="2:5" x14ac:dyDescent="0.3">
      <c r="B366" s="78"/>
      <c r="C366" s="78"/>
      <c r="D366" s="78"/>
      <c r="E366" s="78"/>
    </row>
    <row r="367" spans="2:5" x14ac:dyDescent="0.3">
      <c r="B367" s="78"/>
      <c r="C367" s="78"/>
      <c r="D367" s="78"/>
      <c r="E367" s="78"/>
    </row>
    <row r="368" spans="2:5" x14ac:dyDescent="0.3">
      <c r="B368" s="78"/>
      <c r="C368" s="78"/>
      <c r="D368" s="78"/>
      <c r="E368" s="78"/>
    </row>
    <row r="369" spans="2:5" x14ac:dyDescent="0.3">
      <c r="B369" s="78"/>
      <c r="C369" s="78"/>
      <c r="D369" s="78"/>
      <c r="E369" s="78"/>
    </row>
    <row r="370" spans="2:5" x14ac:dyDescent="0.3">
      <c r="B370" s="78"/>
      <c r="C370" s="78"/>
      <c r="D370" s="78"/>
      <c r="E370" s="78"/>
    </row>
    <row r="371" spans="2:5" x14ac:dyDescent="0.3">
      <c r="B371" s="78"/>
      <c r="C371" s="78"/>
      <c r="D371" s="78"/>
      <c r="E371" s="78"/>
    </row>
    <row r="372" spans="2:5" x14ac:dyDescent="0.3">
      <c r="B372" s="78"/>
      <c r="C372" s="78"/>
      <c r="D372" s="78"/>
      <c r="E372" s="78"/>
    </row>
    <row r="373" spans="2:5" x14ac:dyDescent="0.3">
      <c r="B373" s="78"/>
      <c r="C373" s="78"/>
      <c r="D373" s="78"/>
      <c r="E373" s="78"/>
    </row>
    <row r="374" spans="2:5" x14ac:dyDescent="0.3">
      <c r="B374" s="78"/>
      <c r="C374" s="78"/>
      <c r="D374" s="78"/>
      <c r="E374" s="78"/>
    </row>
    <row r="375" spans="2:5" x14ac:dyDescent="0.3">
      <c r="B375" s="78"/>
      <c r="C375" s="78"/>
      <c r="D375" s="78"/>
      <c r="E375" s="78"/>
    </row>
    <row r="376" spans="2:5" x14ac:dyDescent="0.3">
      <c r="B376" s="78"/>
      <c r="C376" s="78"/>
      <c r="D376" s="78"/>
      <c r="E376" s="78"/>
    </row>
    <row r="377" spans="2:5" x14ac:dyDescent="0.3">
      <c r="B377" s="78"/>
      <c r="C377" s="78"/>
      <c r="D377" s="78"/>
      <c r="E377" s="78"/>
    </row>
    <row r="378" spans="2:5" x14ac:dyDescent="0.3">
      <c r="B378" s="78"/>
      <c r="C378" s="78"/>
      <c r="D378" s="78"/>
      <c r="E378" s="78"/>
    </row>
    <row r="379" spans="2:5" x14ac:dyDescent="0.3">
      <c r="B379" s="78"/>
      <c r="C379" s="78"/>
      <c r="D379" s="78"/>
      <c r="E379" s="78"/>
    </row>
    <row r="380" spans="2:5" x14ac:dyDescent="0.3">
      <c r="B380" s="78"/>
      <c r="C380" s="78"/>
      <c r="D380" s="78"/>
      <c r="E380" s="78"/>
    </row>
    <row r="381" spans="2:5" x14ac:dyDescent="0.3">
      <c r="B381" s="78"/>
      <c r="C381" s="78"/>
      <c r="D381" s="78"/>
      <c r="E381" s="78"/>
    </row>
    <row r="382" spans="2:5" x14ac:dyDescent="0.3">
      <c r="B382" s="78"/>
      <c r="C382" s="78"/>
      <c r="D382" s="78"/>
      <c r="E382" s="78"/>
    </row>
    <row r="383" spans="2:5" x14ac:dyDescent="0.3">
      <c r="B383" s="78"/>
      <c r="C383" s="78"/>
      <c r="D383" s="78"/>
      <c r="E383" s="78"/>
    </row>
    <row r="384" spans="2:5" x14ac:dyDescent="0.3">
      <c r="B384" s="78"/>
      <c r="C384" s="78"/>
      <c r="D384" s="78"/>
      <c r="E384" s="78"/>
    </row>
    <row r="385" spans="2:5" x14ac:dyDescent="0.3">
      <c r="B385" s="78"/>
      <c r="C385" s="78"/>
      <c r="D385" s="78"/>
      <c r="E385" s="78"/>
    </row>
    <row r="386" spans="2:5" x14ac:dyDescent="0.3">
      <c r="B386" s="78"/>
      <c r="C386" s="78"/>
      <c r="D386" s="78"/>
      <c r="E386" s="78"/>
    </row>
    <row r="387" spans="2:5" x14ac:dyDescent="0.3">
      <c r="B387" s="78"/>
      <c r="C387" s="78"/>
      <c r="D387" s="78"/>
      <c r="E387" s="78"/>
    </row>
    <row r="388" spans="2:5" x14ac:dyDescent="0.3">
      <c r="B388" s="78"/>
      <c r="C388" s="78"/>
      <c r="D388" s="78"/>
      <c r="E388" s="78"/>
    </row>
    <row r="389" spans="2:5" x14ac:dyDescent="0.3">
      <c r="B389" s="78"/>
      <c r="C389" s="78"/>
      <c r="D389" s="78"/>
      <c r="E389" s="78"/>
    </row>
    <row r="390" spans="2:5" x14ac:dyDescent="0.3">
      <c r="B390" s="78"/>
      <c r="C390" s="78"/>
      <c r="D390" s="78"/>
      <c r="E390" s="78"/>
    </row>
    <row r="391" spans="2:5" x14ac:dyDescent="0.3">
      <c r="B391" s="78"/>
      <c r="C391" s="78"/>
      <c r="D391" s="78"/>
      <c r="E391" s="78"/>
    </row>
    <row r="392" spans="2:5" x14ac:dyDescent="0.3">
      <c r="B392" s="78"/>
      <c r="C392" s="78"/>
      <c r="D392" s="78"/>
      <c r="E392" s="78"/>
    </row>
    <row r="393" spans="2:5" x14ac:dyDescent="0.3">
      <c r="B393" s="78"/>
      <c r="C393" s="78"/>
      <c r="D393" s="78"/>
      <c r="E393" s="78"/>
    </row>
    <row r="394" spans="2:5" x14ac:dyDescent="0.3">
      <c r="B394" s="78"/>
      <c r="C394" s="78"/>
      <c r="D394" s="78"/>
      <c r="E394" s="78"/>
    </row>
    <row r="395" spans="2:5" x14ac:dyDescent="0.3">
      <c r="B395" s="78"/>
      <c r="C395" s="78"/>
      <c r="D395" s="78"/>
      <c r="E395" s="78"/>
    </row>
    <row r="396" spans="2:5" x14ac:dyDescent="0.3">
      <c r="B396" s="78"/>
      <c r="C396" s="78"/>
      <c r="D396" s="78"/>
      <c r="E396" s="78"/>
    </row>
    <row r="397" spans="2:5" x14ac:dyDescent="0.3">
      <c r="B397" s="78"/>
      <c r="C397" s="78"/>
      <c r="D397" s="78"/>
      <c r="E397" s="78"/>
    </row>
    <row r="398" spans="2:5" x14ac:dyDescent="0.3">
      <c r="B398" s="78"/>
      <c r="C398" s="78"/>
      <c r="D398" s="78"/>
      <c r="E398" s="78"/>
    </row>
    <row r="399" spans="2:5" x14ac:dyDescent="0.3">
      <c r="B399" s="78"/>
      <c r="C399" s="78"/>
      <c r="D399" s="78"/>
      <c r="E399" s="78"/>
    </row>
    <row r="400" spans="2:5" x14ac:dyDescent="0.3">
      <c r="B400" s="78"/>
      <c r="C400" s="78"/>
      <c r="D400" s="78"/>
      <c r="E400" s="78"/>
    </row>
    <row r="401" spans="2:5" x14ac:dyDescent="0.3">
      <c r="B401" s="78"/>
      <c r="C401" s="78"/>
      <c r="D401" s="78"/>
      <c r="E401" s="78"/>
    </row>
    <row r="402" spans="2:5" x14ac:dyDescent="0.3">
      <c r="B402" s="78"/>
      <c r="C402" s="78"/>
      <c r="D402" s="78"/>
      <c r="E402" s="78"/>
    </row>
    <row r="403" spans="2:5" x14ac:dyDescent="0.3">
      <c r="B403" s="78"/>
      <c r="C403" s="78"/>
      <c r="D403" s="78"/>
      <c r="E403" s="78"/>
    </row>
    <row r="404" spans="2:5" x14ac:dyDescent="0.3">
      <c r="B404" s="78"/>
      <c r="C404" s="78"/>
      <c r="D404" s="78"/>
      <c r="E404" s="78"/>
    </row>
    <row r="405" spans="2:5" x14ac:dyDescent="0.3">
      <c r="B405" s="78"/>
      <c r="C405" s="78"/>
      <c r="D405" s="78"/>
      <c r="E405" s="78"/>
    </row>
    <row r="406" spans="2:5" x14ac:dyDescent="0.3">
      <c r="B406" s="78"/>
      <c r="C406" s="78"/>
      <c r="D406" s="78"/>
      <c r="E406" s="78"/>
    </row>
    <row r="407" spans="2:5" x14ac:dyDescent="0.3">
      <c r="B407" s="78"/>
      <c r="C407" s="78"/>
      <c r="D407" s="78"/>
      <c r="E407" s="78"/>
    </row>
    <row r="408" spans="2:5" x14ac:dyDescent="0.3">
      <c r="B408" s="78"/>
      <c r="C408" s="78"/>
      <c r="D408" s="78"/>
      <c r="E408" s="78"/>
    </row>
    <row r="409" spans="2:5" x14ac:dyDescent="0.3">
      <c r="B409" s="78"/>
      <c r="C409" s="78"/>
      <c r="D409" s="78"/>
      <c r="E409" s="78"/>
    </row>
    <row r="410" spans="2:5" x14ac:dyDescent="0.3">
      <c r="B410" s="78"/>
      <c r="C410" s="78"/>
      <c r="D410" s="78"/>
      <c r="E410" s="78"/>
    </row>
    <row r="411" spans="2:5" x14ac:dyDescent="0.3">
      <c r="B411" s="78"/>
      <c r="C411" s="78"/>
      <c r="D411" s="78"/>
      <c r="E411" s="78"/>
    </row>
    <row r="412" spans="2:5" x14ac:dyDescent="0.3">
      <c r="B412" s="78"/>
      <c r="C412" s="78"/>
      <c r="D412" s="78"/>
      <c r="E412" s="78"/>
    </row>
    <row r="413" spans="2:5" x14ac:dyDescent="0.3">
      <c r="B413" s="78"/>
      <c r="C413" s="78"/>
      <c r="D413" s="78"/>
      <c r="E413" s="78"/>
    </row>
    <row r="414" spans="2:5" x14ac:dyDescent="0.3">
      <c r="B414" s="78"/>
      <c r="C414" s="78"/>
      <c r="D414" s="78"/>
      <c r="E414" s="78"/>
    </row>
    <row r="415" spans="2:5" x14ac:dyDescent="0.3">
      <c r="B415" s="78"/>
      <c r="C415" s="78"/>
      <c r="D415" s="78"/>
      <c r="E415" s="78"/>
    </row>
    <row r="416" spans="2:5" x14ac:dyDescent="0.3">
      <c r="B416" s="78"/>
      <c r="C416" s="78"/>
      <c r="D416" s="78"/>
      <c r="E416" s="78"/>
    </row>
    <row r="417" spans="2:5" x14ac:dyDescent="0.3">
      <c r="B417" s="78"/>
      <c r="C417" s="78"/>
      <c r="D417" s="78"/>
      <c r="E417" s="78"/>
    </row>
    <row r="418" spans="2:5" x14ac:dyDescent="0.3">
      <c r="B418" s="78"/>
      <c r="C418" s="78"/>
      <c r="D418" s="78"/>
      <c r="E418" s="78"/>
    </row>
    <row r="419" spans="2:5" x14ac:dyDescent="0.3">
      <c r="B419" s="78"/>
      <c r="C419" s="78"/>
      <c r="D419" s="78"/>
      <c r="E419" s="78"/>
    </row>
    <row r="420" spans="2:5" x14ac:dyDescent="0.3">
      <c r="B420" s="78"/>
      <c r="C420" s="78"/>
      <c r="D420" s="78"/>
      <c r="E420" s="78"/>
    </row>
    <row r="421" spans="2:5" x14ac:dyDescent="0.3">
      <c r="B421" s="78"/>
      <c r="C421" s="78"/>
      <c r="D421" s="78"/>
      <c r="E421" s="78"/>
    </row>
    <row r="422" spans="2:5" x14ac:dyDescent="0.3">
      <c r="B422" s="78"/>
      <c r="C422" s="78"/>
      <c r="D422" s="78"/>
      <c r="E422" s="78"/>
    </row>
    <row r="423" spans="2:5" x14ac:dyDescent="0.3">
      <c r="B423" s="78"/>
      <c r="C423" s="78"/>
      <c r="D423" s="78"/>
      <c r="E423" s="78"/>
    </row>
    <row r="424" spans="2:5" x14ac:dyDescent="0.3">
      <c r="B424" s="78"/>
      <c r="C424" s="78"/>
      <c r="D424" s="78"/>
      <c r="E424" s="78"/>
    </row>
    <row r="425" spans="2:5" x14ac:dyDescent="0.3">
      <c r="B425" s="78"/>
      <c r="C425" s="78"/>
      <c r="D425" s="78"/>
      <c r="E425" s="78"/>
    </row>
    <row r="426" spans="2:5" x14ac:dyDescent="0.3">
      <c r="B426" s="78"/>
      <c r="C426" s="78"/>
      <c r="D426" s="78"/>
      <c r="E426" s="78"/>
    </row>
    <row r="427" spans="2:5" x14ac:dyDescent="0.3">
      <c r="B427" s="78"/>
      <c r="C427" s="78"/>
      <c r="D427" s="78"/>
      <c r="E427" s="78"/>
    </row>
    <row r="428" spans="2:5" x14ac:dyDescent="0.3">
      <c r="B428" s="78"/>
      <c r="C428" s="78"/>
      <c r="D428" s="78"/>
      <c r="E428" s="78"/>
    </row>
    <row r="429" spans="2:5" x14ac:dyDescent="0.3">
      <c r="B429" s="78"/>
      <c r="C429" s="78"/>
      <c r="D429" s="78"/>
      <c r="E429" s="78"/>
    </row>
    <row r="430" spans="2:5" x14ac:dyDescent="0.3">
      <c r="B430" s="78"/>
      <c r="C430" s="78"/>
      <c r="D430" s="78"/>
      <c r="E430" s="78"/>
    </row>
    <row r="431" spans="2:5" x14ac:dyDescent="0.3">
      <c r="B431" s="78"/>
      <c r="C431" s="78"/>
      <c r="D431" s="78"/>
      <c r="E431" s="78"/>
    </row>
    <row r="432" spans="2:5" x14ac:dyDescent="0.3">
      <c r="B432" s="78"/>
      <c r="C432" s="78"/>
      <c r="D432" s="78"/>
      <c r="E432" s="78"/>
    </row>
    <row r="433" spans="2:5" x14ac:dyDescent="0.3">
      <c r="B433" s="78"/>
      <c r="C433" s="78"/>
      <c r="D433" s="78"/>
      <c r="E433" s="78"/>
    </row>
    <row r="434" spans="2:5" x14ac:dyDescent="0.3">
      <c r="B434" s="78"/>
      <c r="C434" s="78"/>
      <c r="D434" s="78"/>
      <c r="E434" s="78"/>
    </row>
    <row r="435" spans="2:5" x14ac:dyDescent="0.3">
      <c r="B435" s="78"/>
      <c r="C435" s="78"/>
      <c r="D435" s="78"/>
      <c r="E435" s="78"/>
    </row>
    <row r="436" spans="2:5" x14ac:dyDescent="0.3">
      <c r="B436" s="78"/>
      <c r="C436" s="78"/>
      <c r="D436" s="78"/>
      <c r="E436" s="78"/>
    </row>
    <row r="437" spans="2:5" x14ac:dyDescent="0.3">
      <c r="B437" s="78"/>
      <c r="C437" s="78"/>
      <c r="D437" s="78"/>
      <c r="E437" s="78"/>
    </row>
    <row r="438" spans="2:5" x14ac:dyDescent="0.3">
      <c r="B438" s="78"/>
      <c r="C438" s="78"/>
      <c r="D438" s="78"/>
      <c r="E438" s="78"/>
    </row>
    <row r="439" spans="2:5" x14ac:dyDescent="0.3">
      <c r="B439" s="78"/>
      <c r="C439" s="78"/>
      <c r="D439" s="78"/>
      <c r="E439" s="78"/>
    </row>
    <row r="440" spans="2:5" x14ac:dyDescent="0.3">
      <c r="B440" s="78"/>
      <c r="C440" s="78"/>
      <c r="D440" s="78"/>
      <c r="E440" s="78"/>
    </row>
    <row r="441" spans="2:5" x14ac:dyDescent="0.3">
      <c r="B441" s="78"/>
      <c r="C441" s="78"/>
      <c r="D441" s="78"/>
      <c r="E441" s="78"/>
    </row>
    <row r="442" spans="2:5" x14ac:dyDescent="0.3">
      <c r="B442" s="78"/>
      <c r="C442" s="78"/>
      <c r="D442" s="78"/>
      <c r="E442" s="78"/>
    </row>
    <row r="443" spans="2:5" x14ac:dyDescent="0.3">
      <c r="B443" s="78"/>
      <c r="C443" s="78"/>
      <c r="D443" s="78"/>
      <c r="E443" s="78"/>
    </row>
    <row r="444" spans="2:5" x14ac:dyDescent="0.3">
      <c r="B444" s="78"/>
      <c r="C444" s="78"/>
      <c r="D444" s="78"/>
      <c r="E444" s="78"/>
    </row>
    <row r="445" spans="2:5" x14ac:dyDescent="0.3">
      <c r="B445" s="78"/>
      <c r="C445" s="78"/>
      <c r="D445" s="78"/>
      <c r="E445" s="78"/>
    </row>
    <row r="446" spans="2:5" x14ac:dyDescent="0.3">
      <c r="B446" s="78"/>
      <c r="C446" s="78"/>
      <c r="D446" s="78"/>
      <c r="E446" s="78"/>
    </row>
    <row r="447" spans="2:5" x14ac:dyDescent="0.3">
      <c r="B447" s="78"/>
      <c r="C447" s="78"/>
      <c r="D447" s="78"/>
      <c r="E447" s="78"/>
    </row>
    <row r="448" spans="2:5" x14ac:dyDescent="0.3">
      <c r="B448" s="78"/>
      <c r="C448" s="78"/>
      <c r="D448" s="78"/>
      <c r="E448" s="78"/>
    </row>
    <row r="449" spans="2:5" x14ac:dyDescent="0.3">
      <c r="B449" s="78"/>
      <c r="C449" s="78"/>
      <c r="D449" s="78"/>
      <c r="E449" s="78"/>
    </row>
    <row r="450" spans="2:5" x14ac:dyDescent="0.3">
      <c r="B450" s="78"/>
      <c r="C450" s="78"/>
      <c r="D450" s="78"/>
      <c r="E450" s="78"/>
    </row>
    <row r="451" spans="2:5" x14ac:dyDescent="0.3">
      <c r="B451" s="78"/>
      <c r="C451" s="78"/>
      <c r="D451" s="78"/>
      <c r="E451" s="78"/>
    </row>
    <row r="452" spans="2:5" x14ac:dyDescent="0.3">
      <c r="B452" s="78"/>
      <c r="C452" s="78"/>
      <c r="D452" s="78"/>
      <c r="E452" s="78"/>
    </row>
    <row r="453" spans="2:5" x14ac:dyDescent="0.3">
      <c r="B453" s="78"/>
      <c r="C453" s="78"/>
      <c r="D453" s="78"/>
      <c r="E453" s="78"/>
    </row>
    <row r="454" spans="2:5" x14ac:dyDescent="0.3">
      <c r="B454" s="78"/>
      <c r="C454" s="78"/>
      <c r="D454" s="78"/>
      <c r="E454" s="78"/>
    </row>
    <row r="455" spans="2:5" x14ac:dyDescent="0.3">
      <c r="B455" s="78"/>
      <c r="C455" s="78"/>
      <c r="D455" s="78"/>
      <c r="E455" s="78"/>
    </row>
    <row r="456" spans="2:5" x14ac:dyDescent="0.3">
      <c r="B456" s="78"/>
      <c r="C456" s="78"/>
      <c r="D456" s="78"/>
      <c r="E456" s="78"/>
    </row>
    <row r="457" spans="2:5" x14ac:dyDescent="0.3">
      <c r="B457" s="78"/>
      <c r="C457" s="78"/>
      <c r="D457" s="78"/>
      <c r="E457" s="78"/>
    </row>
    <row r="458" spans="2:5" x14ac:dyDescent="0.3">
      <c r="B458" s="78"/>
      <c r="C458" s="78"/>
      <c r="D458" s="78"/>
      <c r="E458" s="78"/>
    </row>
    <row r="459" spans="2:5" x14ac:dyDescent="0.3">
      <c r="B459" s="78"/>
      <c r="C459" s="78"/>
      <c r="D459" s="78"/>
      <c r="E459" s="78"/>
    </row>
    <row r="460" spans="2:5" x14ac:dyDescent="0.3">
      <c r="B460" s="78"/>
      <c r="C460" s="78"/>
      <c r="D460" s="78"/>
      <c r="E460" s="78"/>
    </row>
    <row r="461" spans="2:5" x14ac:dyDescent="0.3">
      <c r="B461" s="78"/>
      <c r="C461" s="78"/>
      <c r="D461" s="78"/>
      <c r="E461" s="78"/>
    </row>
    <row r="462" spans="2:5" x14ac:dyDescent="0.3">
      <c r="B462" s="78"/>
      <c r="C462" s="78"/>
      <c r="D462" s="78"/>
      <c r="E462" s="78"/>
    </row>
    <row r="463" spans="2:5" x14ac:dyDescent="0.3">
      <c r="B463" s="78"/>
      <c r="C463" s="78"/>
      <c r="D463" s="78"/>
      <c r="E463" s="78"/>
    </row>
    <row r="464" spans="2:5" x14ac:dyDescent="0.3">
      <c r="B464" s="78"/>
      <c r="C464" s="78"/>
      <c r="D464" s="78"/>
      <c r="E464" s="78"/>
    </row>
    <row r="465" spans="2:5" x14ac:dyDescent="0.3">
      <c r="B465" s="78"/>
      <c r="C465" s="78"/>
      <c r="D465" s="78"/>
      <c r="E465" s="78"/>
    </row>
    <row r="466" spans="2:5" x14ac:dyDescent="0.3">
      <c r="B466" s="78"/>
      <c r="C466" s="78"/>
      <c r="D466" s="78"/>
      <c r="E466" s="78"/>
    </row>
    <row r="467" spans="2:5" x14ac:dyDescent="0.3">
      <c r="B467" s="78"/>
      <c r="C467" s="78"/>
      <c r="D467" s="78"/>
      <c r="E467" s="78"/>
    </row>
    <row r="468" spans="2:5" x14ac:dyDescent="0.3">
      <c r="B468" s="78"/>
      <c r="C468" s="78"/>
      <c r="D468" s="78"/>
      <c r="E468" s="78"/>
    </row>
    <row r="469" spans="2:5" x14ac:dyDescent="0.3">
      <c r="B469" s="78"/>
      <c r="C469" s="78"/>
      <c r="D469" s="78"/>
      <c r="E469" s="78"/>
    </row>
    <row r="470" spans="2:5" x14ac:dyDescent="0.3">
      <c r="B470" s="78"/>
      <c r="C470" s="78"/>
      <c r="D470" s="78"/>
      <c r="E470" s="78"/>
    </row>
    <row r="471" spans="2:5" x14ac:dyDescent="0.3">
      <c r="B471" s="78"/>
      <c r="C471" s="78"/>
      <c r="D471" s="78"/>
      <c r="E471" s="78"/>
    </row>
    <row r="472" spans="2:5" x14ac:dyDescent="0.3">
      <c r="B472" s="78"/>
      <c r="C472" s="78"/>
      <c r="D472" s="78"/>
      <c r="E472" s="78"/>
    </row>
    <row r="473" spans="2:5" x14ac:dyDescent="0.3">
      <c r="B473" s="78"/>
      <c r="C473" s="78"/>
      <c r="D473" s="78"/>
      <c r="E473" s="78"/>
    </row>
    <row r="474" spans="2:5" x14ac:dyDescent="0.3">
      <c r="B474" s="78"/>
      <c r="C474" s="78"/>
      <c r="D474" s="78"/>
      <c r="E474" s="78"/>
    </row>
    <row r="475" spans="2:5" x14ac:dyDescent="0.3">
      <c r="B475" s="78"/>
      <c r="C475" s="78"/>
      <c r="D475" s="78"/>
      <c r="E475" s="78"/>
    </row>
    <row r="476" spans="2:5" x14ac:dyDescent="0.3">
      <c r="B476" s="78"/>
      <c r="C476" s="78"/>
      <c r="D476" s="78"/>
      <c r="E476" s="78"/>
    </row>
    <row r="477" spans="2:5" x14ac:dyDescent="0.3">
      <c r="B477" s="78"/>
      <c r="C477" s="78"/>
      <c r="D477" s="78"/>
      <c r="E477" s="78"/>
    </row>
    <row r="478" spans="2:5" x14ac:dyDescent="0.3">
      <c r="B478" s="78"/>
      <c r="C478" s="78"/>
      <c r="D478" s="78"/>
      <c r="E478" s="78"/>
    </row>
    <row r="479" spans="2:5" x14ac:dyDescent="0.3">
      <c r="B479" s="78"/>
      <c r="C479" s="78"/>
      <c r="D479" s="78"/>
      <c r="E479" s="78"/>
    </row>
    <row r="480" spans="2:5" x14ac:dyDescent="0.3">
      <c r="B480" s="78"/>
      <c r="C480" s="78"/>
      <c r="D480" s="78"/>
      <c r="E480" s="78"/>
    </row>
    <row r="481" spans="2:5" x14ac:dyDescent="0.3">
      <c r="B481" s="78"/>
      <c r="C481" s="78"/>
      <c r="D481" s="78"/>
      <c r="E481" s="78"/>
    </row>
    <row r="482" spans="2:5" x14ac:dyDescent="0.3">
      <c r="B482" s="78"/>
      <c r="C482" s="78"/>
      <c r="D482" s="78"/>
      <c r="E482" s="78"/>
    </row>
    <row r="483" spans="2:5" x14ac:dyDescent="0.3">
      <c r="B483" s="78"/>
      <c r="C483" s="78"/>
      <c r="D483" s="78"/>
      <c r="E483" s="78"/>
    </row>
    <row r="484" spans="2:5" x14ac:dyDescent="0.3">
      <c r="B484" s="78"/>
      <c r="C484" s="78"/>
      <c r="D484" s="78"/>
      <c r="E484" s="78"/>
    </row>
    <row r="485" spans="2:5" x14ac:dyDescent="0.3">
      <c r="B485" s="78"/>
      <c r="C485" s="78"/>
      <c r="D485" s="78"/>
      <c r="E485" s="78"/>
    </row>
    <row r="486" spans="2:5" x14ac:dyDescent="0.3">
      <c r="B486" s="78"/>
      <c r="C486" s="78"/>
      <c r="D486" s="78"/>
      <c r="E486" s="78"/>
    </row>
    <row r="487" spans="2:5" x14ac:dyDescent="0.3">
      <c r="B487" s="78"/>
      <c r="C487" s="78"/>
      <c r="D487" s="78"/>
      <c r="E487" s="78"/>
    </row>
    <row r="488" spans="2:5" x14ac:dyDescent="0.3">
      <c r="B488" s="78"/>
      <c r="C488" s="78"/>
      <c r="D488" s="78"/>
      <c r="E488" s="78"/>
    </row>
    <row r="489" spans="2:5" x14ac:dyDescent="0.3">
      <c r="B489" s="78"/>
      <c r="C489" s="78"/>
      <c r="D489" s="78"/>
      <c r="E489" s="78"/>
    </row>
    <row r="490" spans="2:5" x14ac:dyDescent="0.3">
      <c r="B490" s="78"/>
      <c r="C490" s="78"/>
      <c r="D490" s="78"/>
      <c r="E490" s="78"/>
    </row>
    <row r="491" spans="2:5" x14ac:dyDescent="0.3">
      <c r="B491" s="78"/>
      <c r="C491" s="78"/>
      <c r="D491" s="78"/>
      <c r="E491" s="78"/>
    </row>
    <row r="492" spans="2:5" x14ac:dyDescent="0.3">
      <c r="B492" s="78"/>
      <c r="C492" s="78"/>
      <c r="D492" s="78"/>
      <c r="E492" s="78"/>
    </row>
    <row r="493" spans="2:5" x14ac:dyDescent="0.3">
      <c r="B493" s="78"/>
      <c r="C493" s="78"/>
      <c r="D493" s="78"/>
      <c r="E493" s="78"/>
    </row>
    <row r="494" spans="2:5" x14ac:dyDescent="0.3">
      <c r="B494" s="78"/>
      <c r="C494" s="78"/>
      <c r="D494" s="78"/>
      <c r="E494" s="78"/>
    </row>
    <row r="495" spans="2:5" x14ac:dyDescent="0.3">
      <c r="B495" s="78"/>
      <c r="C495" s="78"/>
      <c r="D495" s="78"/>
      <c r="E495" s="78"/>
    </row>
    <row r="496" spans="2:5" x14ac:dyDescent="0.3">
      <c r="B496" s="78"/>
      <c r="C496" s="78"/>
      <c r="D496" s="78"/>
      <c r="E496" s="78"/>
    </row>
    <row r="497" spans="2:5" x14ac:dyDescent="0.3">
      <c r="B497" s="78"/>
      <c r="C497" s="78"/>
      <c r="D497" s="78"/>
      <c r="E497" s="78"/>
    </row>
    <row r="498" spans="2:5" x14ac:dyDescent="0.3">
      <c r="B498" s="78"/>
      <c r="C498" s="78"/>
      <c r="D498" s="78"/>
      <c r="E498" s="78"/>
    </row>
    <row r="499" spans="2:5" x14ac:dyDescent="0.3">
      <c r="B499" s="78"/>
      <c r="C499" s="78"/>
      <c r="D499" s="78"/>
      <c r="E499" s="78"/>
    </row>
    <row r="500" spans="2:5" x14ac:dyDescent="0.3">
      <c r="B500" s="78"/>
      <c r="C500" s="78"/>
      <c r="D500" s="78"/>
      <c r="E500" s="78"/>
    </row>
    <row r="501" spans="2:5" x14ac:dyDescent="0.3">
      <c r="B501" s="78"/>
      <c r="C501" s="78"/>
      <c r="D501" s="78"/>
      <c r="E501" s="78"/>
    </row>
    <row r="502" spans="2:5" x14ac:dyDescent="0.3">
      <c r="B502" s="78"/>
      <c r="C502" s="78"/>
      <c r="D502" s="78"/>
      <c r="E502" s="78"/>
    </row>
    <row r="503" spans="2:5" x14ac:dyDescent="0.3">
      <c r="B503" s="78"/>
      <c r="C503" s="78"/>
      <c r="D503" s="78"/>
      <c r="E503" s="78"/>
    </row>
    <row r="504" spans="2:5" x14ac:dyDescent="0.3">
      <c r="B504" s="78"/>
      <c r="C504" s="78"/>
      <c r="D504" s="78"/>
      <c r="E504" s="78"/>
    </row>
    <row r="505" spans="2:5" x14ac:dyDescent="0.3">
      <c r="B505" s="78"/>
      <c r="C505" s="78"/>
      <c r="D505" s="78"/>
      <c r="E505" s="78"/>
    </row>
    <row r="506" spans="2:5" x14ac:dyDescent="0.3">
      <c r="B506" s="78"/>
      <c r="C506" s="78"/>
      <c r="D506" s="78"/>
      <c r="E506" s="78"/>
    </row>
    <row r="507" spans="2:5" x14ac:dyDescent="0.3">
      <c r="B507" s="78"/>
      <c r="C507" s="78"/>
      <c r="D507" s="78"/>
      <c r="E507" s="78"/>
    </row>
    <row r="508" spans="2:5" x14ac:dyDescent="0.3">
      <c r="B508" s="78"/>
      <c r="C508" s="78"/>
      <c r="D508" s="78"/>
      <c r="E508" s="78"/>
    </row>
    <row r="509" spans="2:5" x14ac:dyDescent="0.3">
      <c r="B509" s="78"/>
      <c r="C509" s="78"/>
      <c r="D509" s="78"/>
      <c r="E509" s="78"/>
    </row>
    <row r="510" spans="2:5" x14ac:dyDescent="0.3">
      <c r="B510" s="78"/>
      <c r="C510" s="78"/>
      <c r="D510" s="78"/>
      <c r="E510" s="78"/>
    </row>
    <row r="511" spans="2:5" x14ac:dyDescent="0.3">
      <c r="B511" s="78"/>
      <c r="C511" s="78"/>
      <c r="D511" s="78"/>
      <c r="E511" s="78"/>
    </row>
    <row r="512" spans="2:5" x14ac:dyDescent="0.3">
      <c r="B512" s="78"/>
      <c r="C512" s="78"/>
      <c r="D512" s="78"/>
      <c r="E512" s="78"/>
    </row>
    <row r="513" spans="2:5" x14ac:dyDescent="0.3">
      <c r="B513" s="78"/>
      <c r="C513" s="78"/>
      <c r="D513" s="78"/>
      <c r="E513" s="78"/>
    </row>
    <row r="514" spans="2:5" x14ac:dyDescent="0.3">
      <c r="B514" s="78"/>
      <c r="C514" s="78"/>
      <c r="D514" s="78"/>
      <c r="E514" s="78"/>
    </row>
    <row r="515" spans="2:5" x14ac:dyDescent="0.3">
      <c r="B515" s="78"/>
      <c r="C515" s="78"/>
      <c r="D515" s="78"/>
      <c r="E515" s="78"/>
    </row>
    <row r="516" spans="2:5" x14ac:dyDescent="0.3">
      <c r="B516" s="78"/>
      <c r="C516" s="78"/>
      <c r="D516" s="78"/>
      <c r="E516" s="78"/>
    </row>
    <row r="517" spans="2:5" x14ac:dyDescent="0.3">
      <c r="B517" s="78"/>
      <c r="C517" s="78"/>
      <c r="D517" s="78"/>
      <c r="E517" s="78"/>
    </row>
    <row r="518" spans="2:5" x14ac:dyDescent="0.3">
      <c r="B518" s="78"/>
      <c r="C518" s="78"/>
      <c r="D518" s="78"/>
      <c r="E518" s="78"/>
    </row>
    <row r="519" spans="2:5" x14ac:dyDescent="0.3">
      <c r="B519" s="78"/>
      <c r="C519" s="78"/>
      <c r="D519" s="78"/>
      <c r="E519" s="78"/>
    </row>
    <row r="520" spans="2:5" x14ac:dyDescent="0.3">
      <c r="B520" s="78"/>
      <c r="C520" s="78"/>
      <c r="D520" s="78"/>
      <c r="E520" s="78"/>
    </row>
    <row r="521" spans="2:5" x14ac:dyDescent="0.3">
      <c r="B521" s="78"/>
      <c r="C521" s="78"/>
      <c r="D521" s="78"/>
      <c r="E521" s="78"/>
    </row>
    <row r="522" spans="2:5" x14ac:dyDescent="0.3">
      <c r="B522" s="78"/>
      <c r="C522" s="78"/>
      <c r="D522" s="78"/>
      <c r="E522" s="78"/>
    </row>
    <row r="523" spans="2:5" x14ac:dyDescent="0.3">
      <c r="B523" s="78"/>
      <c r="C523" s="78"/>
      <c r="D523" s="78"/>
      <c r="E523" s="78"/>
    </row>
    <row r="524" spans="2:5" x14ac:dyDescent="0.3">
      <c r="B524" s="78"/>
      <c r="C524" s="78"/>
      <c r="D524" s="78"/>
      <c r="E524" s="78"/>
    </row>
    <row r="525" spans="2:5" x14ac:dyDescent="0.3">
      <c r="B525" s="78"/>
      <c r="C525" s="78"/>
      <c r="D525" s="78"/>
      <c r="E525" s="78"/>
    </row>
    <row r="526" spans="2:5" x14ac:dyDescent="0.3">
      <c r="B526" s="78"/>
      <c r="C526" s="78"/>
      <c r="D526" s="78"/>
      <c r="E526" s="78"/>
    </row>
    <row r="527" spans="2:5" x14ac:dyDescent="0.3">
      <c r="B527" s="78"/>
      <c r="C527" s="78"/>
      <c r="D527" s="78"/>
      <c r="E527" s="78"/>
    </row>
    <row r="528" spans="2:5" x14ac:dyDescent="0.3">
      <c r="B528" s="78"/>
      <c r="C528" s="78"/>
      <c r="D528" s="78"/>
      <c r="E528" s="78"/>
    </row>
    <row r="529" spans="2:5" x14ac:dyDescent="0.3">
      <c r="B529" s="78"/>
      <c r="C529" s="78"/>
      <c r="D529" s="78"/>
      <c r="E529" s="78"/>
    </row>
    <row r="530" spans="2:5" x14ac:dyDescent="0.3">
      <c r="B530" s="78"/>
      <c r="C530" s="78"/>
      <c r="D530" s="78"/>
      <c r="E530" s="78"/>
    </row>
    <row r="531" spans="2:5" x14ac:dyDescent="0.3">
      <c r="B531" s="78"/>
      <c r="C531" s="78"/>
      <c r="D531" s="78"/>
      <c r="E531" s="78"/>
    </row>
    <row r="532" spans="2:5" x14ac:dyDescent="0.3">
      <c r="B532" s="78"/>
      <c r="C532" s="78"/>
      <c r="D532" s="78"/>
      <c r="E532" s="78"/>
    </row>
    <row r="533" spans="2:5" x14ac:dyDescent="0.3">
      <c r="B533" s="78"/>
      <c r="C533" s="78"/>
      <c r="D533" s="78"/>
      <c r="E533" s="78"/>
    </row>
    <row r="534" spans="2:5" x14ac:dyDescent="0.3">
      <c r="B534" s="78"/>
      <c r="C534" s="78"/>
      <c r="D534" s="78"/>
      <c r="E534" s="78"/>
    </row>
    <row r="535" spans="2:5" x14ac:dyDescent="0.3">
      <c r="B535" s="78"/>
      <c r="C535" s="78"/>
      <c r="D535" s="78"/>
      <c r="E535" s="78"/>
    </row>
    <row r="536" spans="2:5" x14ac:dyDescent="0.3">
      <c r="B536" s="78"/>
      <c r="C536" s="78"/>
      <c r="D536" s="78"/>
      <c r="E536" s="78"/>
    </row>
    <row r="537" spans="2:5" x14ac:dyDescent="0.3">
      <c r="B537" s="78"/>
      <c r="C537" s="78"/>
      <c r="D537" s="78"/>
      <c r="E537" s="78"/>
    </row>
    <row r="538" spans="2:5" x14ac:dyDescent="0.3">
      <c r="B538" s="78"/>
      <c r="C538" s="78"/>
      <c r="D538" s="78"/>
      <c r="E538" s="78"/>
    </row>
    <row r="539" spans="2:5" x14ac:dyDescent="0.3">
      <c r="B539" s="78"/>
      <c r="C539" s="78"/>
      <c r="D539" s="78"/>
      <c r="E539" s="78"/>
    </row>
    <row r="540" spans="2:5" x14ac:dyDescent="0.3">
      <c r="B540" s="78"/>
      <c r="C540" s="78"/>
      <c r="D540" s="78"/>
      <c r="E540" s="78"/>
    </row>
    <row r="541" spans="2:5" x14ac:dyDescent="0.3">
      <c r="B541" s="78"/>
      <c r="C541" s="78"/>
      <c r="D541" s="78"/>
      <c r="E541" s="78"/>
    </row>
    <row r="542" spans="2:5" x14ac:dyDescent="0.3">
      <c r="B542" s="78"/>
      <c r="C542" s="78"/>
      <c r="D542" s="78"/>
      <c r="E542" s="78"/>
    </row>
    <row r="543" spans="2:5" x14ac:dyDescent="0.3">
      <c r="B543" s="78"/>
      <c r="C543" s="78"/>
      <c r="D543" s="78"/>
      <c r="E543" s="78"/>
    </row>
    <row r="544" spans="2:5" x14ac:dyDescent="0.3">
      <c r="B544" s="78"/>
      <c r="C544" s="78"/>
      <c r="D544" s="78"/>
      <c r="E544" s="78"/>
    </row>
    <row r="545" spans="2:5" x14ac:dyDescent="0.3">
      <c r="B545" s="78"/>
      <c r="C545" s="78"/>
      <c r="D545" s="78"/>
      <c r="E545" s="78"/>
    </row>
    <row r="546" spans="2:5" x14ac:dyDescent="0.3">
      <c r="B546" s="78"/>
      <c r="C546" s="78"/>
      <c r="D546" s="78"/>
      <c r="E546" s="78"/>
    </row>
    <row r="547" spans="2:5" x14ac:dyDescent="0.3">
      <c r="B547" s="78"/>
      <c r="C547" s="78"/>
      <c r="D547" s="78"/>
      <c r="E547" s="78"/>
    </row>
    <row r="548" spans="2:5" x14ac:dyDescent="0.3">
      <c r="B548" s="78"/>
      <c r="C548" s="78"/>
      <c r="D548" s="78"/>
      <c r="E548" s="78"/>
    </row>
    <row r="549" spans="2:5" x14ac:dyDescent="0.3">
      <c r="B549" s="78"/>
      <c r="C549" s="78"/>
      <c r="D549" s="78"/>
      <c r="E549" s="78"/>
    </row>
    <row r="550" spans="2:5" x14ac:dyDescent="0.3">
      <c r="B550" s="78"/>
      <c r="C550" s="78"/>
      <c r="D550" s="78"/>
      <c r="E550" s="78"/>
    </row>
    <row r="551" spans="2:5" x14ac:dyDescent="0.3">
      <c r="B551" s="78"/>
      <c r="C551" s="78"/>
      <c r="D551" s="78"/>
      <c r="E551" s="78"/>
    </row>
    <row r="552" spans="2:5" x14ac:dyDescent="0.3">
      <c r="B552" s="78"/>
      <c r="C552" s="78"/>
      <c r="D552" s="78"/>
      <c r="E552" s="78"/>
    </row>
    <row r="553" spans="2:5" x14ac:dyDescent="0.3">
      <c r="B553" s="78"/>
      <c r="C553" s="78"/>
      <c r="D553" s="78"/>
      <c r="E553" s="78"/>
    </row>
    <row r="554" spans="2:5" x14ac:dyDescent="0.3">
      <c r="B554" s="78"/>
      <c r="C554" s="78"/>
      <c r="D554" s="78"/>
      <c r="E554" s="78"/>
    </row>
    <row r="555" spans="2:5" x14ac:dyDescent="0.3">
      <c r="B555" s="78"/>
      <c r="C555" s="78"/>
      <c r="D555" s="78"/>
      <c r="E555" s="78"/>
    </row>
    <row r="556" spans="2:5" x14ac:dyDescent="0.3">
      <c r="B556" s="78"/>
      <c r="C556" s="78"/>
      <c r="D556" s="78"/>
      <c r="E556" s="78"/>
    </row>
    <row r="557" spans="2:5" x14ac:dyDescent="0.3">
      <c r="B557" s="78"/>
      <c r="C557" s="78"/>
      <c r="D557" s="78"/>
      <c r="E557" s="78"/>
    </row>
    <row r="558" spans="2:5" x14ac:dyDescent="0.3">
      <c r="B558" s="78"/>
      <c r="C558" s="78"/>
      <c r="D558" s="78"/>
      <c r="E558" s="78"/>
    </row>
    <row r="559" spans="2:5" x14ac:dyDescent="0.3">
      <c r="B559" s="78"/>
      <c r="C559" s="78"/>
      <c r="D559" s="78"/>
      <c r="E559" s="78"/>
    </row>
    <row r="560" spans="2:5" x14ac:dyDescent="0.3">
      <c r="B560" s="78"/>
      <c r="C560" s="78"/>
      <c r="D560" s="78"/>
      <c r="E560" s="78"/>
    </row>
    <row r="561" spans="2:5" x14ac:dyDescent="0.3">
      <c r="B561" s="78"/>
      <c r="C561" s="78"/>
      <c r="D561" s="78"/>
      <c r="E561" s="78"/>
    </row>
    <row r="562" spans="2:5" x14ac:dyDescent="0.3">
      <c r="B562" s="78"/>
      <c r="C562" s="78"/>
      <c r="D562" s="78"/>
      <c r="E562" s="78"/>
    </row>
    <row r="563" spans="2:5" x14ac:dyDescent="0.3">
      <c r="B563" s="78"/>
      <c r="C563" s="78"/>
      <c r="D563" s="78"/>
      <c r="E563" s="78"/>
    </row>
    <row r="564" spans="2:5" x14ac:dyDescent="0.3">
      <c r="B564" s="78"/>
      <c r="C564" s="78"/>
      <c r="D564" s="78"/>
      <c r="E564" s="78"/>
    </row>
    <row r="565" spans="2:5" x14ac:dyDescent="0.3">
      <c r="B565" s="78"/>
      <c r="C565" s="78"/>
      <c r="D565" s="78"/>
      <c r="E565" s="78"/>
    </row>
    <row r="566" spans="2:5" x14ac:dyDescent="0.3">
      <c r="B566" s="78"/>
      <c r="C566" s="78"/>
      <c r="D566" s="78"/>
      <c r="E566" s="78"/>
    </row>
    <row r="567" spans="2:5" x14ac:dyDescent="0.3">
      <c r="B567" s="78"/>
      <c r="C567" s="78"/>
      <c r="D567" s="78"/>
      <c r="E567" s="78"/>
    </row>
    <row r="568" spans="2:5" x14ac:dyDescent="0.3">
      <c r="B568" s="78"/>
      <c r="C568" s="78"/>
      <c r="D568" s="78"/>
      <c r="E568" s="78"/>
    </row>
    <row r="569" spans="2:5" x14ac:dyDescent="0.3">
      <c r="B569" s="78"/>
      <c r="C569" s="78"/>
      <c r="D569" s="78"/>
      <c r="E569" s="78"/>
    </row>
    <row r="570" spans="2:5" x14ac:dyDescent="0.3">
      <c r="B570" s="78"/>
      <c r="C570" s="78"/>
      <c r="D570" s="78"/>
      <c r="E570" s="78"/>
    </row>
    <row r="571" spans="2:5" x14ac:dyDescent="0.3">
      <c r="B571" s="78"/>
      <c r="C571" s="78"/>
      <c r="D571" s="78"/>
      <c r="E571" s="78"/>
    </row>
    <row r="572" spans="2:5" x14ac:dyDescent="0.3">
      <c r="B572" s="78"/>
      <c r="C572" s="78"/>
      <c r="D572" s="78"/>
      <c r="E572" s="78"/>
    </row>
    <row r="573" spans="2:5" x14ac:dyDescent="0.3">
      <c r="B573" s="78"/>
      <c r="C573" s="78"/>
      <c r="D573" s="78"/>
      <c r="E573" s="78"/>
    </row>
    <row r="574" spans="2:5" x14ac:dyDescent="0.3">
      <c r="B574" s="78"/>
      <c r="C574" s="78"/>
      <c r="D574" s="78"/>
      <c r="E574" s="78"/>
    </row>
    <row r="575" spans="2:5" x14ac:dyDescent="0.3">
      <c r="B575" s="78"/>
      <c r="C575" s="78"/>
      <c r="D575" s="78"/>
      <c r="E575" s="78"/>
    </row>
    <row r="576" spans="2:5" x14ac:dyDescent="0.3">
      <c r="B576" s="78"/>
      <c r="C576" s="78"/>
      <c r="D576" s="78"/>
      <c r="E576" s="78"/>
    </row>
    <row r="577" spans="2:5" x14ac:dyDescent="0.3">
      <c r="B577" s="78"/>
      <c r="C577" s="78"/>
      <c r="D577" s="78"/>
      <c r="E577" s="78"/>
    </row>
    <row r="578" spans="2:5" x14ac:dyDescent="0.3">
      <c r="B578" s="78"/>
      <c r="C578" s="78"/>
      <c r="D578" s="78"/>
      <c r="E578" s="78"/>
    </row>
    <row r="579" spans="2:5" x14ac:dyDescent="0.3">
      <c r="B579" s="78"/>
      <c r="C579" s="78"/>
      <c r="D579" s="78"/>
      <c r="E579" s="78"/>
    </row>
    <row r="580" spans="2:5" x14ac:dyDescent="0.3">
      <c r="B580" s="78"/>
      <c r="C580" s="78"/>
      <c r="D580" s="78"/>
      <c r="E580" s="78"/>
    </row>
    <row r="581" spans="2:5" x14ac:dyDescent="0.3">
      <c r="B581" s="78"/>
      <c r="C581" s="78"/>
      <c r="D581" s="78"/>
      <c r="E581" s="78"/>
    </row>
    <row r="582" spans="2:5" x14ac:dyDescent="0.3">
      <c r="B582" s="78"/>
      <c r="C582" s="78"/>
      <c r="D582" s="78"/>
      <c r="E582" s="78"/>
    </row>
    <row r="583" spans="2:5" x14ac:dyDescent="0.3">
      <c r="B583" s="78"/>
      <c r="C583" s="78"/>
      <c r="D583" s="78"/>
      <c r="E583" s="78"/>
    </row>
    <row r="584" spans="2:5" x14ac:dyDescent="0.3">
      <c r="B584" s="78"/>
      <c r="C584" s="78"/>
      <c r="D584" s="78"/>
      <c r="E584" s="78"/>
    </row>
    <row r="585" spans="2:5" x14ac:dyDescent="0.3">
      <c r="B585" s="78"/>
      <c r="C585" s="78"/>
      <c r="D585" s="78"/>
      <c r="E585" s="78"/>
    </row>
    <row r="586" spans="2:5" x14ac:dyDescent="0.3">
      <c r="B586" s="78"/>
      <c r="C586" s="78"/>
      <c r="D586" s="78"/>
      <c r="E586" s="78"/>
    </row>
    <row r="587" spans="2:5" x14ac:dyDescent="0.3">
      <c r="B587" s="78"/>
      <c r="C587" s="78"/>
      <c r="D587" s="78"/>
      <c r="E587" s="78"/>
    </row>
    <row r="588" spans="2:5" x14ac:dyDescent="0.3">
      <c r="B588" s="78"/>
      <c r="C588" s="78"/>
      <c r="D588" s="78"/>
      <c r="E588" s="78"/>
    </row>
    <row r="589" spans="2:5" x14ac:dyDescent="0.3">
      <c r="B589" s="78"/>
      <c r="C589" s="78"/>
      <c r="D589" s="78"/>
      <c r="E589" s="78"/>
    </row>
    <row r="590" spans="2:5" x14ac:dyDescent="0.3">
      <c r="B590" s="78"/>
      <c r="C590" s="78"/>
      <c r="D590" s="78"/>
      <c r="E590" s="78"/>
    </row>
    <row r="591" spans="2:5" x14ac:dyDescent="0.3">
      <c r="B591" s="78"/>
      <c r="C591" s="78"/>
      <c r="D591" s="78"/>
      <c r="E591" s="78"/>
    </row>
    <row r="592" spans="2:5" x14ac:dyDescent="0.3">
      <c r="B592" s="78"/>
      <c r="C592" s="78"/>
      <c r="D592" s="78"/>
      <c r="E592" s="78"/>
    </row>
    <row r="593" spans="2:5" x14ac:dyDescent="0.3">
      <c r="B593" s="78"/>
      <c r="C593" s="78"/>
      <c r="D593" s="78"/>
      <c r="E593" s="78"/>
    </row>
    <row r="594" spans="2:5" x14ac:dyDescent="0.3">
      <c r="B594" s="78"/>
      <c r="C594" s="78"/>
      <c r="D594" s="78"/>
      <c r="E594" s="78"/>
    </row>
    <row r="595" spans="2:5" x14ac:dyDescent="0.3">
      <c r="B595" s="78"/>
      <c r="C595" s="78"/>
      <c r="D595" s="78"/>
      <c r="E595" s="78"/>
    </row>
    <row r="596" spans="2:5" x14ac:dyDescent="0.3">
      <c r="B596" s="78"/>
      <c r="C596" s="78"/>
      <c r="D596" s="78"/>
      <c r="E596" s="78"/>
    </row>
    <row r="597" spans="2:5" x14ac:dyDescent="0.3">
      <c r="B597" s="78"/>
      <c r="C597" s="78"/>
      <c r="D597" s="78"/>
      <c r="E597" s="78"/>
    </row>
    <row r="598" spans="2:5" x14ac:dyDescent="0.3">
      <c r="B598" s="78"/>
      <c r="C598" s="78"/>
      <c r="D598" s="78"/>
      <c r="E598" s="78"/>
    </row>
    <row r="599" spans="2:5" x14ac:dyDescent="0.3">
      <c r="B599" s="78"/>
      <c r="C599" s="78"/>
      <c r="D599" s="78"/>
      <c r="E599" s="78"/>
    </row>
    <row r="600" spans="2:5" x14ac:dyDescent="0.3">
      <c r="B600" s="78"/>
      <c r="C600" s="78"/>
      <c r="D600" s="78"/>
      <c r="E600" s="78"/>
    </row>
    <row r="601" spans="2:5" x14ac:dyDescent="0.3">
      <c r="B601" s="78"/>
      <c r="C601" s="78"/>
      <c r="D601" s="78"/>
      <c r="E601" s="78"/>
    </row>
    <row r="602" spans="2:5" x14ac:dyDescent="0.3">
      <c r="B602" s="78"/>
      <c r="C602" s="78"/>
      <c r="D602" s="78"/>
      <c r="E602" s="78"/>
    </row>
    <row r="603" spans="2:5" x14ac:dyDescent="0.3">
      <c r="B603" s="78"/>
      <c r="C603" s="78"/>
      <c r="D603" s="78"/>
      <c r="E603" s="78"/>
    </row>
    <row r="604" spans="2:5" x14ac:dyDescent="0.3">
      <c r="B604" s="78"/>
      <c r="C604" s="78"/>
      <c r="D604" s="78"/>
      <c r="E604" s="78"/>
    </row>
    <row r="605" spans="2:5" x14ac:dyDescent="0.3">
      <c r="B605" s="78"/>
      <c r="C605" s="78"/>
      <c r="D605" s="78"/>
      <c r="E605" s="78"/>
    </row>
    <row r="606" spans="2:5" x14ac:dyDescent="0.3">
      <c r="B606" s="78"/>
      <c r="C606" s="78"/>
      <c r="D606" s="78"/>
      <c r="E606" s="78"/>
    </row>
    <row r="607" spans="2:5" x14ac:dyDescent="0.3">
      <c r="B607" s="78"/>
      <c r="C607" s="78"/>
      <c r="D607" s="78"/>
      <c r="E607" s="78"/>
    </row>
    <row r="608" spans="2:5" x14ac:dyDescent="0.3">
      <c r="B608" s="78"/>
      <c r="C608" s="78"/>
      <c r="D608" s="78"/>
      <c r="E608" s="78"/>
    </row>
    <row r="609" spans="2:5" x14ac:dyDescent="0.3">
      <c r="B609" s="78"/>
      <c r="C609" s="78"/>
      <c r="D609" s="78"/>
      <c r="E609" s="78"/>
    </row>
    <row r="610" spans="2:5" x14ac:dyDescent="0.3">
      <c r="B610" s="78"/>
      <c r="C610" s="78"/>
      <c r="D610" s="78"/>
      <c r="E610" s="78"/>
    </row>
    <row r="611" spans="2:5" x14ac:dyDescent="0.3">
      <c r="B611" s="78"/>
      <c r="C611" s="78"/>
      <c r="D611" s="78"/>
      <c r="E611" s="78"/>
    </row>
    <row r="612" spans="2:5" x14ac:dyDescent="0.3">
      <c r="B612" s="78"/>
      <c r="C612" s="78"/>
      <c r="D612" s="78"/>
      <c r="E612" s="78"/>
    </row>
    <row r="613" spans="2:5" x14ac:dyDescent="0.3">
      <c r="B613" s="78"/>
      <c r="C613" s="78"/>
      <c r="D613" s="78"/>
      <c r="E613" s="78"/>
    </row>
    <row r="614" spans="2:5" x14ac:dyDescent="0.3">
      <c r="B614" s="78"/>
      <c r="C614" s="78"/>
      <c r="D614" s="78"/>
      <c r="E614" s="78"/>
    </row>
    <row r="615" spans="2:5" x14ac:dyDescent="0.3">
      <c r="B615" s="78"/>
      <c r="C615" s="78"/>
      <c r="D615" s="78"/>
      <c r="E615" s="78"/>
    </row>
    <row r="616" spans="2:5" x14ac:dyDescent="0.3">
      <c r="B616" s="78"/>
      <c r="C616" s="78"/>
      <c r="D616" s="78"/>
      <c r="E616" s="78"/>
    </row>
    <row r="617" spans="2:5" x14ac:dyDescent="0.3">
      <c r="B617" s="78"/>
      <c r="C617" s="78"/>
      <c r="D617" s="78"/>
      <c r="E617" s="78"/>
    </row>
    <row r="618" spans="2:5" x14ac:dyDescent="0.3">
      <c r="B618" s="78"/>
      <c r="C618" s="78"/>
      <c r="D618" s="78"/>
      <c r="E618" s="78"/>
    </row>
    <row r="619" spans="2:5" x14ac:dyDescent="0.3">
      <c r="B619" s="78"/>
      <c r="C619" s="78"/>
      <c r="D619" s="78"/>
      <c r="E619" s="78"/>
    </row>
    <row r="620" spans="2:5" x14ac:dyDescent="0.3">
      <c r="B620" s="78"/>
      <c r="C620" s="78"/>
      <c r="D620" s="78"/>
      <c r="E620" s="78"/>
    </row>
    <row r="621" spans="2:5" x14ac:dyDescent="0.3">
      <c r="B621" s="78"/>
      <c r="C621" s="78"/>
      <c r="D621" s="78"/>
      <c r="E621" s="78"/>
    </row>
    <row r="622" spans="2:5" x14ac:dyDescent="0.3">
      <c r="B622" s="78"/>
      <c r="C622" s="78"/>
      <c r="D622" s="78"/>
      <c r="E622" s="78"/>
    </row>
    <row r="623" spans="2:5" x14ac:dyDescent="0.3">
      <c r="B623" s="78"/>
      <c r="C623" s="78"/>
      <c r="D623" s="78"/>
      <c r="E623" s="78"/>
    </row>
    <row r="624" spans="2:5" x14ac:dyDescent="0.3">
      <c r="B624" s="78"/>
      <c r="C624" s="78"/>
      <c r="D624" s="78"/>
      <c r="E624" s="78"/>
    </row>
    <row r="625" spans="2:5" x14ac:dyDescent="0.3">
      <c r="B625" s="78"/>
      <c r="C625" s="78"/>
      <c r="D625" s="78"/>
      <c r="E625" s="78"/>
    </row>
    <row r="626" spans="2:5" x14ac:dyDescent="0.3">
      <c r="B626" s="78"/>
      <c r="C626" s="78"/>
      <c r="D626" s="78"/>
      <c r="E626" s="78"/>
    </row>
    <row r="627" spans="2:5" x14ac:dyDescent="0.3">
      <c r="B627" s="78"/>
      <c r="C627" s="78"/>
      <c r="D627" s="78"/>
      <c r="E627" s="78"/>
    </row>
    <row r="628" spans="2:5" x14ac:dyDescent="0.3">
      <c r="B628" s="78"/>
      <c r="C628" s="78"/>
      <c r="D628" s="78"/>
      <c r="E628" s="78"/>
    </row>
    <row r="629" spans="2:5" x14ac:dyDescent="0.3">
      <c r="B629" s="78"/>
      <c r="C629" s="78"/>
      <c r="D629" s="78"/>
      <c r="E629" s="78"/>
    </row>
    <row r="630" spans="2:5" x14ac:dyDescent="0.3">
      <c r="B630" s="78"/>
      <c r="C630" s="78"/>
      <c r="D630" s="78"/>
      <c r="E630" s="78"/>
    </row>
    <row r="631" spans="2:5" x14ac:dyDescent="0.3">
      <c r="B631" s="78"/>
      <c r="C631" s="78"/>
      <c r="D631" s="78"/>
      <c r="E631" s="78"/>
    </row>
    <row r="632" spans="2:5" x14ac:dyDescent="0.3">
      <c r="B632" s="78"/>
      <c r="C632" s="78"/>
      <c r="D632" s="78"/>
      <c r="E632" s="78"/>
    </row>
    <row r="633" spans="2:5" x14ac:dyDescent="0.3">
      <c r="B633" s="78"/>
      <c r="C633" s="78"/>
      <c r="D633" s="78"/>
      <c r="E633" s="78"/>
    </row>
    <row r="634" spans="2:5" x14ac:dyDescent="0.3">
      <c r="B634" s="78"/>
      <c r="C634" s="78"/>
      <c r="D634" s="78"/>
      <c r="E634" s="78"/>
    </row>
    <row r="635" spans="2:5" x14ac:dyDescent="0.3">
      <c r="B635" s="78"/>
      <c r="C635" s="78"/>
      <c r="D635" s="78"/>
      <c r="E635" s="78"/>
    </row>
    <row r="636" spans="2:5" x14ac:dyDescent="0.3">
      <c r="B636" s="78"/>
      <c r="C636" s="78"/>
      <c r="D636" s="78"/>
      <c r="E636" s="78"/>
    </row>
    <row r="637" spans="2:5" x14ac:dyDescent="0.3">
      <c r="B637" s="78"/>
      <c r="C637" s="78"/>
      <c r="D637" s="78"/>
      <c r="E637" s="78"/>
    </row>
    <row r="638" spans="2:5" x14ac:dyDescent="0.3">
      <c r="B638" s="78"/>
      <c r="C638" s="78"/>
      <c r="D638" s="78"/>
      <c r="E638" s="78"/>
    </row>
    <row r="639" spans="2:5" x14ac:dyDescent="0.3">
      <c r="B639" s="78"/>
      <c r="C639" s="78"/>
      <c r="D639" s="78"/>
      <c r="E639" s="78"/>
    </row>
    <row r="640" spans="2:5" x14ac:dyDescent="0.3">
      <c r="B640" s="78"/>
      <c r="C640" s="78"/>
      <c r="D640" s="78"/>
      <c r="E640" s="78"/>
    </row>
    <row r="641" spans="2:5" x14ac:dyDescent="0.3">
      <c r="B641" s="78"/>
      <c r="C641" s="78"/>
      <c r="D641" s="78"/>
      <c r="E641" s="78"/>
    </row>
    <row r="642" spans="2:5" x14ac:dyDescent="0.3">
      <c r="B642" s="78"/>
      <c r="C642" s="78"/>
      <c r="D642" s="78"/>
      <c r="E642" s="78"/>
    </row>
    <row r="643" spans="2:5" x14ac:dyDescent="0.3">
      <c r="B643" s="78"/>
      <c r="C643" s="78"/>
      <c r="D643" s="78"/>
      <c r="E643" s="78"/>
    </row>
    <row r="644" spans="2:5" x14ac:dyDescent="0.3">
      <c r="B644" s="78"/>
      <c r="C644" s="78"/>
      <c r="D644" s="78"/>
      <c r="E644" s="78"/>
    </row>
    <row r="645" spans="2:5" x14ac:dyDescent="0.3">
      <c r="B645" s="78"/>
      <c r="C645" s="78"/>
      <c r="D645" s="78"/>
      <c r="E645" s="78"/>
    </row>
    <row r="646" spans="2:5" x14ac:dyDescent="0.3">
      <c r="B646" s="78"/>
      <c r="C646" s="78"/>
      <c r="D646" s="78"/>
      <c r="E646" s="78"/>
    </row>
    <row r="647" spans="2:5" x14ac:dyDescent="0.3">
      <c r="B647" s="78"/>
      <c r="C647" s="78"/>
      <c r="D647" s="78"/>
      <c r="E647" s="78"/>
    </row>
    <row r="648" spans="2:5" x14ac:dyDescent="0.3">
      <c r="B648" s="78"/>
      <c r="C648" s="78"/>
      <c r="D648" s="78"/>
      <c r="E648" s="78"/>
    </row>
    <row r="649" spans="2:5" x14ac:dyDescent="0.3">
      <c r="B649" s="78"/>
      <c r="C649" s="78"/>
      <c r="D649" s="78"/>
      <c r="E649" s="78"/>
    </row>
    <row r="650" spans="2:5" x14ac:dyDescent="0.3">
      <c r="B650" s="78"/>
      <c r="C650" s="78"/>
      <c r="D650" s="78"/>
      <c r="E650" s="78"/>
    </row>
    <row r="651" spans="2:5" x14ac:dyDescent="0.3">
      <c r="B651" s="78"/>
      <c r="C651" s="78"/>
      <c r="D651" s="78"/>
      <c r="E651" s="78"/>
    </row>
    <row r="652" spans="2:5" x14ac:dyDescent="0.3">
      <c r="B652" s="78"/>
      <c r="C652" s="78"/>
      <c r="D652" s="78"/>
      <c r="E652" s="78"/>
    </row>
    <row r="653" spans="2:5" x14ac:dyDescent="0.3">
      <c r="B653" s="78"/>
      <c r="C653" s="78"/>
      <c r="D653" s="78"/>
      <c r="E653" s="78"/>
    </row>
    <row r="654" spans="2:5" x14ac:dyDescent="0.3">
      <c r="B654" s="78"/>
      <c r="C654" s="78"/>
      <c r="D654" s="78"/>
      <c r="E654" s="78"/>
    </row>
    <row r="655" spans="2:5" x14ac:dyDescent="0.3">
      <c r="B655" s="78"/>
      <c r="C655" s="78"/>
      <c r="D655" s="78"/>
      <c r="E655" s="78"/>
    </row>
    <row r="656" spans="2:5" x14ac:dyDescent="0.3">
      <c r="B656" s="78"/>
      <c r="C656" s="78"/>
      <c r="D656" s="78"/>
      <c r="E656" s="78"/>
    </row>
    <row r="657" spans="2:5" x14ac:dyDescent="0.3">
      <c r="B657" s="78"/>
      <c r="C657" s="78"/>
      <c r="D657" s="78"/>
      <c r="E657" s="78"/>
    </row>
    <row r="658" spans="2:5" x14ac:dyDescent="0.3">
      <c r="B658" s="78"/>
      <c r="C658" s="78"/>
      <c r="D658" s="78"/>
      <c r="E658" s="78"/>
    </row>
    <row r="659" spans="2:5" x14ac:dyDescent="0.3">
      <c r="B659" s="78"/>
      <c r="C659" s="78"/>
      <c r="D659" s="78"/>
      <c r="E659" s="78"/>
    </row>
    <row r="660" spans="2:5" x14ac:dyDescent="0.3">
      <c r="B660" s="78"/>
      <c r="C660" s="78"/>
      <c r="D660" s="78"/>
      <c r="E660" s="78"/>
    </row>
    <row r="661" spans="2:5" x14ac:dyDescent="0.3">
      <c r="B661" s="78"/>
      <c r="C661" s="78"/>
      <c r="D661" s="78"/>
      <c r="E661" s="78"/>
    </row>
    <row r="662" spans="2:5" x14ac:dyDescent="0.3">
      <c r="B662" s="78"/>
      <c r="C662" s="78"/>
      <c r="D662" s="78"/>
      <c r="E662" s="78"/>
    </row>
    <row r="663" spans="2:5" x14ac:dyDescent="0.3">
      <c r="B663" s="78"/>
      <c r="C663" s="78"/>
      <c r="D663" s="78"/>
      <c r="E663" s="78"/>
    </row>
    <row r="664" spans="2:5" x14ac:dyDescent="0.3">
      <c r="B664" s="78"/>
      <c r="C664" s="78"/>
      <c r="D664" s="78"/>
      <c r="E664" s="78"/>
    </row>
    <row r="665" spans="2:5" x14ac:dyDescent="0.3">
      <c r="B665" s="78"/>
      <c r="C665" s="78"/>
      <c r="D665" s="78"/>
      <c r="E665" s="78"/>
    </row>
    <row r="666" spans="2:5" x14ac:dyDescent="0.3">
      <c r="B666" s="78"/>
      <c r="C666" s="78"/>
      <c r="D666" s="78"/>
      <c r="E666" s="78"/>
    </row>
    <row r="667" spans="2:5" x14ac:dyDescent="0.3">
      <c r="B667" s="78"/>
      <c r="C667" s="78"/>
      <c r="D667" s="78"/>
      <c r="E667" s="78"/>
    </row>
    <row r="668" spans="2:5" x14ac:dyDescent="0.3">
      <c r="B668" s="78"/>
      <c r="C668" s="78"/>
      <c r="D668" s="78"/>
      <c r="E668" s="78"/>
    </row>
    <row r="669" spans="2:5" x14ac:dyDescent="0.3">
      <c r="B669" s="78"/>
      <c r="C669" s="78"/>
      <c r="D669" s="78"/>
      <c r="E669" s="78"/>
    </row>
    <row r="670" spans="2:5" x14ac:dyDescent="0.3">
      <c r="B670" s="78"/>
      <c r="C670" s="78"/>
      <c r="D670" s="78"/>
      <c r="E670" s="78"/>
    </row>
    <row r="671" spans="2:5" x14ac:dyDescent="0.3">
      <c r="B671" s="78"/>
      <c r="C671" s="78"/>
      <c r="D671" s="78"/>
      <c r="E671" s="78"/>
    </row>
    <row r="672" spans="2:5" x14ac:dyDescent="0.3">
      <c r="B672" s="78"/>
      <c r="C672" s="78"/>
      <c r="D672" s="78"/>
      <c r="E672" s="78"/>
    </row>
    <row r="673" spans="2:5" x14ac:dyDescent="0.3">
      <c r="B673" s="78"/>
      <c r="C673" s="78"/>
      <c r="D673" s="78"/>
      <c r="E673" s="78"/>
    </row>
    <row r="674" spans="2:5" x14ac:dyDescent="0.3">
      <c r="B674" s="78"/>
      <c r="C674" s="78"/>
      <c r="D674" s="78"/>
      <c r="E674" s="78"/>
    </row>
    <row r="675" spans="2:5" x14ac:dyDescent="0.3">
      <c r="B675" s="78"/>
      <c r="C675" s="78"/>
      <c r="D675" s="78"/>
      <c r="E675" s="78"/>
    </row>
    <row r="676" spans="2:5" x14ac:dyDescent="0.3">
      <c r="B676" s="78"/>
      <c r="C676" s="78"/>
      <c r="D676" s="78"/>
      <c r="E676" s="78"/>
    </row>
    <row r="677" spans="2:5" x14ac:dyDescent="0.3">
      <c r="B677" s="78"/>
      <c r="C677" s="78"/>
      <c r="D677" s="78"/>
      <c r="E677" s="78"/>
    </row>
    <row r="678" spans="2:5" x14ac:dyDescent="0.3">
      <c r="B678" s="78"/>
      <c r="C678" s="78"/>
      <c r="D678" s="78"/>
      <c r="E678" s="78"/>
    </row>
    <row r="679" spans="2:5" x14ac:dyDescent="0.3">
      <c r="B679" s="78"/>
      <c r="C679" s="78"/>
      <c r="D679" s="78"/>
      <c r="E679" s="78"/>
    </row>
    <row r="680" spans="2:5" x14ac:dyDescent="0.3">
      <c r="B680" s="78"/>
      <c r="C680" s="78"/>
      <c r="D680" s="78"/>
      <c r="E680" s="78"/>
    </row>
    <row r="681" spans="2:5" x14ac:dyDescent="0.3">
      <c r="B681" s="78"/>
      <c r="C681" s="78"/>
      <c r="D681" s="78"/>
      <c r="E681" s="78"/>
    </row>
    <row r="682" spans="2:5" x14ac:dyDescent="0.3">
      <c r="B682" s="78"/>
      <c r="C682" s="78"/>
      <c r="D682" s="78"/>
      <c r="E682" s="78"/>
    </row>
    <row r="683" spans="2:5" x14ac:dyDescent="0.3">
      <c r="B683" s="78"/>
      <c r="C683" s="78"/>
      <c r="D683" s="78"/>
      <c r="E683" s="78"/>
    </row>
    <row r="684" spans="2:5" x14ac:dyDescent="0.3">
      <c r="B684" s="78"/>
      <c r="C684" s="78"/>
      <c r="D684" s="78"/>
      <c r="E684" s="78"/>
    </row>
    <row r="685" spans="2:5" x14ac:dyDescent="0.3">
      <c r="B685" s="78"/>
      <c r="C685" s="78"/>
      <c r="D685" s="78"/>
      <c r="E685" s="78"/>
    </row>
    <row r="686" spans="2:5" x14ac:dyDescent="0.3">
      <c r="B686" s="78"/>
      <c r="C686" s="78"/>
      <c r="D686" s="78"/>
      <c r="E686" s="78"/>
    </row>
    <row r="687" spans="2:5" x14ac:dyDescent="0.3">
      <c r="B687" s="78"/>
      <c r="C687" s="78"/>
      <c r="D687" s="78"/>
      <c r="E687" s="78"/>
    </row>
    <row r="688" spans="2:5" x14ac:dyDescent="0.3">
      <c r="B688" s="78"/>
      <c r="C688" s="78"/>
      <c r="D688" s="78"/>
      <c r="E688" s="78"/>
    </row>
    <row r="689" spans="2:5" x14ac:dyDescent="0.3">
      <c r="B689" s="78"/>
      <c r="C689" s="78"/>
      <c r="D689" s="78"/>
      <c r="E689" s="78"/>
    </row>
    <row r="690" spans="2:5" x14ac:dyDescent="0.3">
      <c r="B690" s="78"/>
      <c r="C690" s="78"/>
      <c r="D690" s="78"/>
      <c r="E690" s="78"/>
    </row>
    <row r="691" spans="2:5" x14ac:dyDescent="0.3">
      <c r="B691" s="78"/>
      <c r="C691" s="78"/>
      <c r="D691" s="78"/>
      <c r="E691" s="78"/>
    </row>
    <row r="692" spans="2:5" x14ac:dyDescent="0.3">
      <c r="B692" s="78"/>
      <c r="C692" s="78"/>
      <c r="D692" s="78"/>
      <c r="E692" s="78"/>
    </row>
    <row r="693" spans="2:5" x14ac:dyDescent="0.3">
      <c r="B693" s="78"/>
      <c r="C693" s="78"/>
      <c r="D693" s="78"/>
      <c r="E693" s="78"/>
    </row>
    <row r="694" spans="2:5" x14ac:dyDescent="0.3">
      <c r="B694" s="78"/>
      <c r="C694" s="78"/>
      <c r="D694" s="78"/>
      <c r="E694" s="78"/>
    </row>
    <row r="695" spans="2:5" x14ac:dyDescent="0.3">
      <c r="B695" s="78"/>
      <c r="C695" s="78"/>
      <c r="D695" s="78"/>
      <c r="E695" s="78"/>
    </row>
    <row r="696" spans="2:5" x14ac:dyDescent="0.3">
      <c r="B696" s="78"/>
      <c r="C696" s="78"/>
      <c r="D696" s="78"/>
      <c r="E696" s="78"/>
    </row>
    <row r="697" spans="2:5" x14ac:dyDescent="0.3">
      <c r="B697" s="78"/>
      <c r="C697" s="78"/>
      <c r="D697" s="78"/>
      <c r="E697" s="78"/>
    </row>
    <row r="698" spans="2:5" x14ac:dyDescent="0.3">
      <c r="B698" s="78"/>
      <c r="C698" s="78"/>
      <c r="D698" s="78"/>
      <c r="E698" s="78"/>
    </row>
    <row r="699" spans="2:5" x14ac:dyDescent="0.3">
      <c r="B699" s="78"/>
      <c r="C699" s="78"/>
      <c r="D699" s="78"/>
      <c r="E699" s="78"/>
    </row>
    <row r="700" spans="2:5" x14ac:dyDescent="0.3">
      <c r="B700" s="78"/>
      <c r="C700" s="78"/>
      <c r="D700" s="78"/>
      <c r="E700" s="78"/>
    </row>
    <row r="701" spans="2:5" x14ac:dyDescent="0.3">
      <c r="B701" s="78"/>
      <c r="C701" s="78"/>
      <c r="D701" s="78"/>
      <c r="E701" s="78"/>
    </row>
    <row r="702" spans="2:5" x14ac:dyDescent="0.3">
      <c r="B702" s="78"/>
      <c r="C702" s="78"/>
      <c r="D702" s="78"/>
      <c r="E702" s="78"/>
    </row>
    <row r="703" spans="2:5" x14ac:dyDescent="0.3">
      <c r="B703" s="78"/>
      <c r="C703" s="78"/>
      <c r="D703" s="78"/>
      <c r="E703" s="78"/>
    </row>
    <row r="704" spans="2:5" x14ac:dyDescent="0.3">
      <c r="B704" s="78"/>
      <c r="C704" s="78"/>
      <c r="D704" s="78"/>
      <c r="E704" s="78"/>
    </row>
    <row r="705" spans="2:5" x14ac:dyDescent="0.3">
      <c r="B705" s="78"/>
      <c r="C705" s="78"/>
      <c r="D705" s="78"/>
      <c r="E705" s="78"/>
    </row>
    <row r="706" spans="2:5" x14ac:dyDescent="0.3">
      <c r="B706" s="78"/>
      <c r="C706" s="78"/>
      <c r="D706" s="78"/>
      <c r="E706" s="78"/>
    </row>
    <row r="707" spans="2:5" x14ac:dyDescent="0.3">
      <c r="B707" s="78"/>
      <c r="C707" s="78"/>
      <c r="D707" s="78"/>
      <c r="E707" s="78"/>
    </row>
    <row r="708" spans="2:5" x14ac:dyDescent="0.3">
      <c r="B708" s="78"/>
      <c r="C708" s="78"/>
      <c r="D708" s="78"/>
      <c r="E708" s="78"/>
    </row>
    <row r="709" spans="2:5" x14ac:dyDescent="0.3">
      <c r="B709" s="78"/>
      <c r="C709" s="78"/>
      <c r="D709" s="78"/>
      <c r="E709" s="78"/>
    </row>
    <row r="710" spans="2:5" x14ac:dyDescent="0.3">
      <c r="B710" s="78"/>
      <c r="C710" s="78"/>
      <c r="D710" s="78"/>
      <c r="E710" s="78"/>
    </row>
    <row r="711" spans="2:5" x14ac:dyDescent="0.3">
      <c r="B711" s="78"/>
      <c r="C711" s="78"/>
      <c r="D711" s="78"/>
      <c r="E711" s="78"/>
    </row>
    <row r="712" spans="2:5" x14ac:dyDescent="0.3">
      <c r="B712" s="78"/>
      <c r="C712" s="78"/>
      <c r="D712" s="78"/>
      <c r="E712" s="78"/>
    </row>
    <row r="713" spans="2:5" x14ac:dyDescent="0.3">
      <c r="B713" s="78"/>
      <c r="C713" s="78"/>
      <c r="D713" s="78"/>
      <c r="E713" s="78"/>
    </row>
    <row r="714" spans="2:5" x14ac:dyDescent="0.3">
      <c r="B714" s="78"/>
      <c r="C714" s="78"/>
      <c r="D714" s="78"/>
      <c r="E714" s="78"/>
    </row>
    <row r="715" spans="2:5" x14ac:dyDescent="0.3">
      <c r="B715" s="78"/>
      <c r="C715" s="78"/>
      <c r="D715" s="78"/>
      <c r="E715" s="78"/>
    </row>
    <row r="716" spans="2:5" x14ac:dyDescent="0.3">
      <c r="B716" s="78"/>
      <c r="C716" s="78"/>
      <c r="D716" s="78"/>
      <c r="E716" s="78"/>
    </row>
    <row r="717" spans="2:5" x14ac:dyDescent="0.3">
      <c r="B717" s="78"/>
      <c r="C717" s="78"/>
      <c r="D717" s="78"/>
      <c r="E717" s="78"/>
    </row>
    <row r="718" spans="2:5" x14ac:dyDescent="0.3">
      <c r="B718" s="78"/>
      <c r="C718" s="78"/>
      <c r="D718" s="78"/>
      <c r="E718" s="78"/>
    </row>
    <row r="719" spans="2:5" x14ac:dyDescent="0.3">
      <c r="B719" s="78"/>
      <c r="C719" s="78"/>
      <c r="D719" s="78"/>
      <c r="E719" s="78"/>
    </row>
    <row r="720" spans="2:5" x14ac:dyDescent="0.3">
      <c r="B720" s="78"/>
      <c r="C720" s="78"/>
      <c r="D720" s="78"/>
      <c r="E720" s="78"/>
    </row>
    <row r="721" spans="2:5" x14ac:dyDescent="0.3">
      <c r="B721" s="78"/>
      <c r="C721" s="78"/>
      <c r="D721" s="78"/>
      <c r="E721" s="78"/>
    </row>
    <row r="722" spans="2:5" x14ac:dyDescent="0.3">
      <c r="B722" s="78"/>
      <c r="C722" s="78"/>
      <c r="D722" s="78"/>
      <c r="E722" s="78"/>
    </row>
    <row r="723" spans="2:5" x14ac:dyDescent="0.3">
      <c r="B723" s="78"/>
      <c r="C723" s="78"/>
      <c r="D723" s="78"/>
      <c r="E723" s="78"/>
    </row>
    <row r="724" spans="2:5" x14ac:dyDescent="0.3">
      <c r="B724" s="78"/>
      <c r="C724" s="78"/>
      <c r="D724" s="78"/>
      <c r="E724" s="78"/>
    </row>
    <row r="725" spans="2:5" x14ac:dyDescent="0.3">
      <c r="B725" s="78"/>
      <c r="C725" s="78"/>
      <c r="D725" s="78"/>
      <c r="E725" s="78"/>
    </row>
    <row r="726" spans="2:5" x14ac:dyDescent="0.3">
      <c r="B726" s="78"/>
      <c r="C726" s="78"/>
      <c r="D726" s="78"/>
      <c r="E726" s="78"/>
    </row>
    <row r="727" spans="2:5" x14ac:dyDescent="0.3">
      <c r="B727" s="78"/>
      <c r="C727" s="78"/>
      <c r="D727" s="78"/>
      <c r="E727" s="78"/>
    </row>
    <row r="728" spans="2:5" x14ac:dyDescent="0.3">
      <c r="B728" s="78"/>
      <c r="C728" s="78"/>
      <c r="D728" s="78"/>
      <c r="E728" s="78"/>
    </row>
    <row r="729" spans="2:5" x14ac:dyDescent="0.3">
      <c r="B729" s="78"/>
      <c r="C729" s="78"/>
      <c r="D729" s="78"/>
      <c r="E729" s="78"/>
    </row>
    <row r="730" spans="2:5" x14ac:dyDescent="0.3">
      <c r="B730" s="78"/>
      <c r="C730" s="78"/>
      <c r="D730" s="78"/>
      <c r="E730" s="78"/>
    </row>
    <row r="731" spans="2:5" x14ac:dyDescent="0.3">
      <c r="B731" s="78"/>
      <c r="C731" s="78"/>
      <c r="D731" s="78"/>
      <c r="E731" s="78"/>
    </row>
    <row r="732" spans="2:5" x14ac:dyDescent="0.3">
      <c r="B732" s="78"/>
      <c r="C732" s="78"/>
      <c r="D732" s="78"/>
      <c r="E732" s="78"/>
    </row>
    <row r="733" spans="2:5" x14ac:dyDescent="0.3">
      <c r="B733" s="78"/>
      <c r="C733" s="78"/>
      <c r="D733" s="78"/>
      <c r="E733" s="78"/>
    </row>
    <row r="734" spans="2:5" x14ac:dyDescent="0.3">
      <c r="B734" s="78"/>
      <c r="C734" s="78"/>
      <c r="D734" s="78"/>
      <c r="E734" s="78"/>
    </row>
    <row r="735" spans="2:5" x14ac:dyDescent="0.3">
      <c r="B735" s="78"/>
      <c r="C735" s="78"/>
      <c r="D735" s="78"/>
      <c r="E735" s="78"/>
    </row>
    <row r="736" spans="2:5" x14ac:dyDescent="0.3">
      <c r="B736" s="78"/>
      <c r="C736" s="78"/>
      <c r="D736" s="78"/>
      <c r="E736" s="78"/>
    </row>
    <row r="737" spans="2:5" x14ac:dyDescent="0.3">
      <c r="B737" s="78"/>
      <c r="C737" s="78"/>
      <c r="D737" s="78"/>
      <c r="E737" s="78"/>
    </row>
    <row r="738" spans="2:5" x14ac:dyDescent="0.3">
      <c r="B738" s="78"/>
      <c r="C738" s="78"/>
      <c r="D738" s="78"/>
      <c r="E738" s="78"/>
    </row>
    <row r="739" spans="2:5" x14ac:dyDescent="0.3">
      <c r="B739" s="78"/>
      <c r="C739" s="78"/>
      <c r="D739" s="78"/>
      <c r="E739" s="78"/>
    </row>
    <row r="740" spans="2:5" x14ac:dyDescent="0.3">
      <c r="B740" s="78"/>
      <c r="C740" s="78"/>
      <c r="D740" s="78"/>
      <c r="E740" s="78"/>
    </row>
    <row r="741" spans="2:5" x14ac:dyDescent="0.3">
      <c r="B741" s="78"/>
      <c r="C741" s="78"/>
      <c r="D741" s="78"/>
      <c r="E741" s="78"/>
    </row>
    <row r="742" spans="2:5" x14ac:dyDescent="0.3">
      <c r="B742" s="78"/>
      <c r="C742" s="78"/>
      <c r="D742" s="78"/>
      <c r="E742" s="78"/>
    </row>
    <row r="743" spans="2:5" x14ac:dyDescent="0.3">
      <c r="B743" s="78"/>
      <c r="C743" s="78"/>
      <c r="D743" s="78"/>
      <c r="E743" s="78"/>
    </row>
    <row r="744" spans="2:5" x14ac:dyDescent="0.3">
      <c r="B744" s="78"/>
      <c r="C744" s="78"/>
      <c r="D744" s="78"/>
      <c r="E744" s="78"/>
    </row>
    <row r="745" spans="2:5" x14ac:dyDescent="0.3">
      <c r="B745" s="78"/>
      <c r="C745" s="78"/>
      <c r="D745" s="78"/>
      <c r="E745" s="78"/>
    </row>
    <row r="746" spans="2:5" x14ac:dyDescent="0.3">
      <c r="B746" s="78"/>
      <c r="C746" s="78"/>
      <c r="D746" s="78"/>
      <c r="E746" s="78"/>
    </row>
    <row r="747" spans="2:5" x14ac:dyDescent="0.3">
      <c r="B747" s="78"/>
      <c r="C747" s="78"/>
      <c r="D747" s="78"/>
      <c r="E747" s="78"/>
    </row>
    <row r="748" spans="2:5" x14ac:dyDescent="0.3">
      <c r="B748" s="78"/>
      <c r="C748" s="78"/>
      <c r="D748" s="78"/>
      <c r="E748" s="78"/>
    </row>
    <row r="749" spans="2:5" x14ac:dyDescent="0.3">
      <c r="B749" s="78"/>
      <c r="C749" s="78"/>
      <c r="D749" s="78"/>
      <c r="E749" s="78"/>
    </row>
    <row r="750" spans="2:5" x14ac:dyDescent="0.3">
      <c r="B750" s="78"/>
      <c r="C750" s="78"/>
      <c r="D750" s="78"/>
      <c r="E750" s="78"/>
    </row>
    <row r="751" spans="2:5" x14ac:dyDescent="0.3">
      <c r="B751" s="78"/>
      <c r="C751" s="78"/>
      <c r="D751" s="78"/>
      <c r="E751" s="78"/>
    </row>
    <row r="752" spans="2:5" x14ac:dyDescent="0.3">
      <c r="B752" s="78"/>
      <c r="C752" s="78"/>
      <c r="D752" s="78"/>
      <c r="E752" s="78"/>
    </row>
    <row r="753" spans="2:5" x14ac:dyDescent="0.3">
      <c r="B753" s="78"/>
      <c r="C753" s="78"/>
      <c r="D753" s="78"/>
      <c r="E753" s="78"/>
    </row>
    <row r="754" spans="2:5" x14ac:dyDescent="0.3">
      <c r="B754" s="78"/>
      <c r="C754" s="78"/>
      <c r="D754" s="78"/>
      <c r="E754" s="78"/>
    </row>
    <row r="755" spans="2:5" x14ac:dyDescent="0.3">
      <c r="B755" s="78"/>
      <c r="C755" s="78"/>
      <c r="D755" s="78"/>
      <c r="E755" s="78"/>
    </row>
    <row r="756" spans="2:5" x14ac:dyDescent="0.3">
      <c r="B756" s="78"/>
      <c r="C756" s="78"/>
      <c r="D756" s="78"/>
      <c r="E756" s="78"/>
    </row>
    <row r="757" spans="2:5" x14ac:dyDescent="0.3">
      <c r="B757" s="78"/>
      <c r="C757" s="78"/>
      <c r="D757" s="78"/>
      <c r="E757" s="78"/>
    </row>
    <row r="758" spans="2:5" x14ac:dyDescent="0.3">
      <c r="B758" s="78"/>
      <c r="C758" s="78"/>
      <c r="D758" s="78"/>
      <c r="E758" s="78"/>
    </row>
    <row r="759" spans="2:5" x14ac:dyDescent="0.3">
      <c r="B759" s="78"/>
      <c r="C759" s="78"/>
      <c r="D759" s="78"/>
      <c r="E759" s="78"/>
    </row>
    <row r="760" spans="2:5" x14ac:dyDescent="0.3">
      <c r="B760" s="78"/>
      <c r="C760" s="78"/>
      <c r="D760" s="78"/>
      <c r="E760" s="78"/>
    </row>
    <row r="761" spans="2:5" x14ac:dyDescent="0.3">
      <c r="B761" s="78"/>
      <c r="C761" s="78"/>
      <c r="D761" s="78"/>
      <c r="E761" s="78"/>
    </row>
    <row r="762" spans="2:5" x14ac:dyDescent="0.3">
      <c r="B762" s="78"/>
      <c r="C762" s="78"/>
      <c r="D762" s="78"/>
      <c r="E762" s="78"/>
    </row>
    <row r="763" spans="2:5" x14ac:dyDescent="0.3">
      <c r="B763" s="78"/>
      <c r="C763" s="78"/>
      <c r="D763" s="78"/>
      <c r="E763" s="78"/>
    </row>
    <row r="764" spans="2:5" x14ac:dyDescent="0.3">
      <c r="B764" s="78"/>
      <c r="C764" s="78"/>
      <c r="D764" s="78"/>
      <c r="E764" s="78"/>
    </row>
    <row r="765" spans="2:5" x14ac:dyDescent="0.3">
      <c r="B765" s="78"/>
      <c r="C765" s="78"/>
      <c r="D765" s="78"/>
      <c r="E765" s="78"/>
    </row>
    <row r="766" spans="2:5" x14ac:dyDescent="0.3">
      <c r="B766" s="78"/>
      <c r="C766" s="78"/>
      <c r="D766" s="78"/>
      <c r="E766" s="78"/>
    </row>
    <row r="767" spans="2:5" x14ac:dyDescent="0.3">
      <c r="B767" s="78"/>
      <c r="C767" s="78"/>
      <c r="D767" s="78"/>
      <c r="E767" s="78"/>
    </row>
    <row r="768" spans="2:5" x14ac:dyDescent="0.3">
      <c r="B768" s="78"/>
      <c r="C768" s="78"/>
      <c r="D768" s="78"/>
      <c r="E768" s="78"/>
    </row>
    <row r="769" spans="2:5" x14ac:dyDescent="0.3">
      <c r="B769" s="78"/>
      <c r="C769" s="78"/>
      <c r="D769" s="78"/>
      <c r="E769" s="78"/>
    </row>
    <row r="770" spans="2:5" x14ac:dyDescent="0.3">
      <c r="B770" s="78"/>
      <c r="C770" s="78"/>
      <c r="D770" s="78"/>
      <c r="E770" s="78"/>
    </row>
    <row r="771" spans="2:5" x14ac:dyDescent="0.3">
      <c r="B771" s="78"/>
      <c r="C771" s="78"/>
      <c r="D771" s="78"/>
      <c r="E771" s="78"/>
    </row>
    <row r="772" spans="2:5" x14ac:dyDescent="0.3">
      <c r="B772" s="78"/>
      <c r="C772" s="78"/>
      <c r="D772" s="78"/>
      <c r="E772" s="78"/>
    </row>
    <row r="773" spans="2:5" x14ac:dyDescent="0.3">
      <c r="B773" s="78"/>
      <c r="C773" s="78"/>
      <c r="D773" s="78"/>
      <c r="E773" s="78"/>
    </row>
    <row r="774" spans="2:5" x14ac:dyDescent="0.3">
      <c r="B774" s="78"/>
      <c r="C774" s="78"/>
      <c r="D774" s="78"/>
      <c r="E774" s="78"/>
    </row>
    <row r="775" spans="2:5" x14ac:dyDescent="0.3">
      <c r="B775" s="78"/>
      <c r="C775" s="78"/>
      <c r="D775" s="78"/>
      <c r="E775" s="78"/>
    </row>
    <row r="776" spans="2:5" x14ac:dyDescent="0.3">
      <c r="B776" s="78"/>
      <c r="C776" s="78"/>
      <c r="D776" s="78"/>
      <c r="E776" s="78"/>
    </row>
    <row r="777" spans="2:5" x14ac:dyDescent="0.3">
      <c r="B777" s="78"/>
      <c r="C777" s="78"/>
      <c r="D777" s="78"/>
      <c r="E777" s="78"/>
    </row>
    <row r="778" spans="2:5" x14ac:dyDescent="0.3">
      <c r="B778" s="78"/>
      <c r="C778" s="78"/>
      <c r="D778" s="78"/>
      <c r="E778" s="78"/>
    </row>
    <row r="779" spans="2:5" x14ac:dyDescent="0.3">
      <c r="B779" s="78"/>
      <c r="C779" s="78"/>
      <c r="D779" s="78"/>
      <c r="E779" s="78"/>
    </row>
    <row r="780" spans="2:5" x14ac:dyDescent="0.3">
      <c r="B780" s="78"/>
      <c r="C780" s="78"/>
      <c r="D780" s="78"/>
      <c r="E780" s="78"/>
    </row>
    <row r="781" spans="2:5" x14ac:dyDescent="0.3">
      <c r="B781" s="78"/>
      <c r="C781" s="78"/>
      <c r="D781" s="78"/>
      <c r="E781" s="78"/>
    </row>
    <row r="782" spans="2:5" x14ac:dyDescent="0.3">
      <c r="B782" s="78"/>
      <c r="C782" s="78"/>
      <c r="D782" s="78"/>
      <c r="E782" s="78"/>
    </row>
    <row r="783" spans="2:5" x14ac:dyDescent="0.3">
      <c r="B783" s="78"/>
      <c r="C783" s="78"/>
      <c r="D783" s="78"/>
      <c r="E783" s="78"/>
    </row>
    <row r="784" spans="2:5" x14ac:dyDescent="0.3">
      <c r="B784" s="78"/>
      <c r="C784" s="78"/>
      <c r="D784" s="78"/>
      <c r="E784" s="78"/>
    </row>
    <row r="785" spans="2:5" x14ac:dyDescent="0.3">
      <c r="B785" s="78"/>
      <c r="C785" s="78"/>
      <c r="D785" s="78"/>
      <c r="E785" s="78"/>
    </row>
    <row r="786" spans="2:5" x14ac:dyDescent="0.3">
      <c r="B786" s="78"/>
      <c r="C786" s="78"/>
      <c r="D786" s="78"/>
      <c r="E786" s="78"/>
    </row>
    <row r="787" spans="2:5" x14ac:dyDescent="0.3">
      <c r="B787" s="78"/>
      <c r="C787" s="78"/>
      <c r="D787" s="78"/>
      <c r="E787" s="78"/>
    </row>
    <row r="788" spans="2:5" x14ac:dyDescent="0.3">
      <c r="B788" s="78"/>
      <c r="C788" s="78"/>
      <c r="D788" s="78"/>
      <c r="E788" s="78"/>
    </row>
    <row r="789" spans="2:5" x14ac:dyDescent="0.3">
      <c r="B789" s="78"/>
      <c r="C789" s="78"/>
      <c r="D789" s="78"/>
      <c r="E789" s="78"/>
    </row>
    <row r="790" spans="2:5" x14ac:dyDescent="0.3">
      <c r="B790" s="78"/>
      <c r="C790" s="78"/>
      <c r="D790" s="78"/>
      <c r="E790" s="78"/>
    </row>
    <row r="791" spans="2:5" x14ac:dyDescent="0.3">
      <c r="B791" s="78"/>
      <c r="C791" s="78"/>
      <c r="D791" s="78"/>
      <c r="E791" s="78"/>
    </row>
    <row r="792" spans="2:5" x14ac:dyDescent="0.3">
      <c r="B792" s="78"/>
      <c r="C792" s="78"/>
      <c r="D792" s="78"/>
      <c r="E792" s="78"/>
    </row>
    <row r="793" spans="2:5" x14ac:dyDescent="0.3">
      <c r="B793" s="78"/>
      <c r="C793" s="78"/>
      <c r="D793" s="78"/>
      <c r="E793" s="78"/>
    </row>
    <row r="794" spans="2:5" x14ac:dyDescent="0.3">
      <c r="B794" s="78"/>
      <c r="C794" s="78"/>
      <c r="D794" s="78"/>
      <c r="E794" s="78"/>
    </row>
    <row r="795" spans="2:5" x14ac:dyDescent="0.3">
      <c r="B795" s="78"/>
      <c r="C795" s="78"/>
      <c r="D795" s="78"/>
      <c r="E795" s="78"/>
    </row>
    <row r="796" spans="2:5" x14ac:dyDescent="0.3">
      <c r="B796" s="78"/>
      <c r="C796" s="78"/>
      <c r="D796" s="78"/>
      <c r="E796" s="78"/>
    </row>
    <row r="797" spans="2:5" x14ac:dyDescent="0.3">
      <c r="B797" s="78"/>
      <c r="C797" s="78"/>
      <c r="D797" s="78"/>
      <c r="E797" s="78"/>
    </row>
    <row r="798" spans="2:5" x14ac:dyDescent="0.3">
      <c r="B798" s="78"/>
      <c r="C798" s="78"/>
      <c r="D798" s="78"/>
      <c r="E798" s="78"/>
    </row>
    <row r="799" spans="2:5" x14ac:dyDescent="0.3">
      <c r="B799" s="78"/>
      <c r="C799" s="78"/>
      <c r="D799" s="78"/>
      <c r="E799" s="78"/>
    </row>
    <row r="800" spans="2:5" x14ac:dyDescent="0.3">
      <c r="B800" s="78"/>
      <c r="C800" s="78"/>
      <c r="D800" s="78"/>
      <c r="E800" s="78"/>
    </row>
    <row r="801" spans="2:5" x14ac:dyDescent="0.3">
      <c r="B801" s="78"/>
      <c r="C801" s="78"/>
      <c r="D801" s="78"/>
      <c r="E801" s="78"/>
    </row>
    <row r="802" spans="2:5" x14ac:dyDescent="0.3">
      <c r="B802" s="78"/>
      <c r="C802" s="78"/>
      <c r="D802" s="78"/>
      <c r="E802" s="78"/>
    </row>
    <row r="803" spans="2:5" x14ac:dyDescent="0.3">
      <c r="B803" s="78"/>
      <c r="C803" s="78"/>
      <c r="D803" s="78"/>
      <c r="E803" s="78"/>
    </row>
    <row r="804" spans="2:5" x14ac:dyDescent="0.3">
      <c r="B804" s="78"/>
      <c r="C804" s="78"/>
      <c r="D804" s="78"/>
      <c r="E804" s="78"/>
    </row>
    <row r="805" spans="2:5" x14ac:dyDescent="0.3">
      <c r="B805" s="78"/>
      <c r="C805" s="78"/>
      <c r="D805" s="78"/>
      <c r="E805" s="78"/>
    </row>
    <row r="806" spans="2:5" x14ac:dyDescent="0.3">
      <c r="B806" s="78"/>
      <c r="C806" s="78"/>
      <c r="D806" s="78"/>
      <c r="E806" s="78"/>
    </row>
    <row r="807" spans="2:5" x14ac:dyDescent="0.3">
      <c r="B807" s="78"/>
      <c r="C807" s="78"/>
      <c r="D807" s="78"/>
      <c r="E807" s="78"/>
    </row>
    <row r="808" spans="2:5" x14ac:dyDescent="0.3">
      <c r="B808" s="78"/>
      <c r="C808" s="78"/>
      <c r="D808" s="78"/>
      <c r="E808" s="78"/>
    </row>
    <row r="809" spans="2:5" x14ac:dyDescent="0.3">
      <c r="B809" s="78"/>
      <c r="C809" s="78"/>
      <c r="D809" s="78"/>
      <c r="E809" s="78"/>
    </row>
    <row r="810" spans="2:5" x14ac:dyDescent="0.3">
      <c r="B810" s="78"/>
      <c r="C810" s="78"/>
      <c r="D810" s="78"/>
      <c r="E810" s="78"/>
    </row>
    <row r="811" spans="2:5" x14ac:dyDescent="0.3">
      <c r="B811" s="78"/>
      <c r="C811" s="78"/>
      <c r="D811" s="78"/>
      <c r="E811" s="78"/>
    </row>
    <row r="812" spans="2:5" x14ac:dyDescent="0.3">
      <c r="B812" s="78"/>
      <c r="C812" s="78"/>
      <c r="D812" s="78"/>
      <c r="E812" s="78"/>
    </row>
    <row r="813" spans="2:5" x14ac:dyDescent="0.3">
      <c r="B813" s="78"/>
      <c r="C813" s="78"/>
      <c r="D813" s="78"/>
      <c r="E813" s="78"/>
    </row>
  </sheetData>
  <printOptions gridLines="1"/>
  <pageMargins left="0.7" right="0.7" top="0.75" bottom="0.75" header="0.3" footer="0.3"/>
  <pageSetup orientation="portrait" r:id="rId1"/>
  <headerFooter>
    <oddHeader>&amp;CPTEC
Statement of Financial Activities
January 31, 2017</oddHeader>
    <oddFooter>&amp;L&amp;D&amp;T&amp;R&amp;P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8"/>
  <sheetViews>
    <sheetView zoomScale="90" zoomScaleNormal="90" workbookViewId="0">
      <pane xSplit="1" ySplit="2" topLeftCell="B55" activePane="bottomRight" state="frozen"/>
      <selection pane="topRight" activeCell="B1" sqref="B1"/>
      <selection pane="bottomLeft" activeCell="A3" sqref="A3"/>
      <selection pane="bottomRight" activeCell="H84" sqref="H84"/>
    </sheetView>
  </sheetViews>
  <sheetFormatPr defaultColWidth="9.109375" defaultRowHeight="14.4" x14ac:dyDescent="0.3"/>
  <cols>
    <col min="1" max="1" width="27.88671875" style="3" customWidth="1"/>
    <col min="2" max="5" width="11.109375" style="3" bestFit="1" customWidth="1"/>
    <col min="6" max="6" width="11.5546875" style="3" customWidth="1"/>
    <col min="7" max="7" width="21" style="4" hidden="1" customWidth="1"/>
    <col min="8" max="8" width="15.33203125" style="3" customWidth="1"/>
    <col min="9" max="9" width="9.109375" style="4" customWidth="1"/>
    <col min="10" max="10" width="17.44140625" style="4" customWidth="1"/>
    <col min="11" max="11" width="16.33203125" style="4" customWidth="1"/>
    <col min="12" max="12" width="19.44140625" style="4" customWidth="1"/>
    <col min="13" max="28" width="9.109375" style="4"/>
    <col min="29" max="16384" width="9.109375" style="3"/>
  </cols>
  <sheetData>
    <row r="1" spans="1:28" ht="15" thickBot="1" x14ac:dyDescent="0.35">
      <c r="A1" s="3" t="s">
        <v>15</v>
      </c>
      <c r="B1" s="193">
        <f>'budget entry'!B3</f>
        <v>8937</v>
      </c>
      <c r="C1" s="193">
        <f>'budget entry'!C3</f>
        <v>8937</v>
      </c>
      <c r="D1" s="193">
        <f>'budget entry'!D3</f>
        <v>8300</v>
      </c>
      <c r="E1" s="193">
        <f>'budget entry'!E3</f>
        <v>8300</v>
      </c>
      <c r="F1" s="193">
        <f>'budget entry'!F3</f>
        <v>8126</v>
      </c>
      <c r="G1" s="134" t="s">
        <v>15</v>
      </c>
      <c r="H1" s="135"/>
    </row>
    <row r="2" spans="1:28" ht="19.5" customHeight="1" thickBot="1" x14ac:dyDescent="0.35">
      <c r="B2" s="5" t="s">
        <v>108</v>
      </c>
      <c r="C2" s="5" t="s">
        <v>109</v>
      </c>
      <c r="D2" s="5" t="s">
        <v>110</v>
      </c>
      <c r="E2" s="5" t="s">
        <v>183</v>
      </c>
      <c r="F2" s="5" t="s">
        <v>305</v>
      </c>
      <c r="G2" s="4" t="s">
        <v>184</v>
      </c>
      <c r="H2" s="5" t="s">
        <v>107</v>
      </c>
    </row>
    <row r="3" spans="1:28" ht="17.25" customHeight="1" x14ac:dyDescent="0.3">
      <c r="A3" s="6" t="s">
        <v>30</v>
      </c>
      <c r="B3" s="127">
        <v>40000</v>
      </c>
      <c r="C3" s="127">
        <v>42810</v>
      </c>
      <c r="D3" s="127">
        <v>50000</v>
      </c>
      <c r="E3" s="127">
        <v>30873</v>
      </c>
      <c r="F3" s="127">
        <v>30000</v>
      </c>
      <c r="G3" s="4" t="s">
        <v>430</v>
      </c>
    </row>
    <row r="4" spans="1:28" x14ac:dyDescent="0.3">
      <c r="A4" s="7" t="s">
        <v>1</v>
      </c>
      <c r="B4" s="127"/>
      <c r="C4" s="127"/>
      <c r="D4" s="127"/>
      <c r="E4" s="127"/>
      <c r="F4" s="127"/>
      <c r="H4" s="8" t="s">
        <v>15</v>
      </c>
    </row>
    <row r="5" spans="1:28" x14ac:dyDescent="0.3">
      <c r="A5" s="9" t="s">
        <v>111</v>
      </c>
      <c r="B5" s="10">
        <v>893000</v>
      </c>
      <c r="C5" s="10">
        <v>1032800</v>
      </c>
      <c r="D5" s="10">
        <v>1209694</v>
      </c>
      <c r="E5" s="10">
        <v>785170</v>
      </c>
      <c r="F5" s="10">
        <v>547051</v>
      </c>
      <c r="H5" s="8">
        <f>SUM(B5:F5)</f>
        <v>4467715</v>
      </c>
      <c r="J5" s="4" t="s">
        <v>15</v>
      </c>
    </row>
    <row r="6" spans="1:28" x14ac:dyDescent="0.3">
      <c r="A6" s="9" t="s">
        <v>112</v>
      </c>
      <c r="B6" s="10">
        <v>25000</v>
      </c>
      <c r="C6" s="10">
        <v>19000</v>
      </c>
      <c r="D6" s="12">
        <v>19000</v>
      </c>
      <c r="E6" s="12">
        <v>5000</v>
      </c>
      <c r="F6" s="10">
        <v>0</v>
      </c>
      <c r="H6" s="8">
        <f>SUM(B6:F6)</f>
        <v>68000</v>
      </c>
    </row>
    <row r="7" spans="1:28" x14ac:dyDescent="0.3">
      <c r="A7" s="9" t="s">
        <v>113</v>
      </c>
      <c r="B7" s="13">
        <v>45200</v>
      </c>
      <c r="C7" s="13">
        <v>25900</v>
      </c>
      <c r="D7" s="12">
        <v>38000</v>
      </c>
      <c r="E7" s="12">
        <v>15000</v>
      </c>
      <c r="F7" s="13">
        <v>0</v>
      </c>
      <c r="G7" s="4" t="s">
        <v>15</v>
      </c>
      <c r="H7" s="8">
        <f>SUM(B7:F7)</f>
        <v>124100</v>
      </c>
    </row>
    <row r="8" spans="1:28" x14ac:dyDescent="0.3">
      <c r="A8" s="9" t="s">
        <v>291</v>
      </c>
      <c r="B8" s="15">
        <v>0</v>
      </c>
      <c r="C8" s="15">
        <v>0</v>
      </c>
      <c r="D8" s="15" t="s">
        <v>15</v>
      </c>
      <c r="E8" s="15">
        <v>0</v>
      </c>
      <c r="F8" s="15">
        <v>0</v>
      </c>
      <c r="G8" s="4" t="s">
        <v>15</v>
      </c>
      <c r="H8" s="8">
        <f>SUM(B8:F8)</f>
        <v>0</v>
      </c>
    </row>
    <row r="9" spans="1:28" x14ac:dyDescent="0.3">
      <c r="A9" s="9" t="s">
        <v>114</v>
      </c>
      <c r="B9" s="16">
        <f>SUM(B5:B8)</f>
        <v>963200</v>
      </c>
      <c r="C9" s="16">
        <f>SUM(C5:C8)</f>
        <v>1077700</v>
      </c>
      <c r="D9" s="16">
        <f>SUM(D5:D8)</f>
        <v>1266694</v>
      </c>
      <c r="E9" s="16">
        <f>SUM(E5:E8)</f>
        <v>805170</v>
      </c>
      <c r="F9" s="16">
        <f>SUM(F5:F8)</f>
        <v>547051</v>
      </c>
      <c r="H9" s="19">
        <f>SUM(H5:H8)</f>
        <v>4659815</v>
      </c>
    </row>
    <row r="10" spans="1:28" x14ac:dyDescent="0.3">
      <c r="A10" s="9" t="s">
        <v>115</v>
      </c>
      <c r="B10" s="13"/>
      <c r="C10" s="13"/>
      <c r="D10" s="12"/>
      <c r="E10" s="12"/>
      <c r="F10" s="13"/>
    </row>
    <row r="11" spans="1:28" x14ac:dyDescent="0.3">
      <c r="A11" s="9" t="s">
        <v>116</v>
      </c>
      <c r="B11" s="13">
        <v>14000</v>
      </c>
      <c r="C11" s="13">
        <v>15650</v>
      </c>
      <c r="D11" s="12">
        <v>18367</v>
      </c>
      <c r="E11" s="12">
        <v>11675</v>
      </c>
      <c r="F11" s="13">
        <v>7932</v>
      </c>
      <c r="H11" s="8">
        <f>SUM(B11:F11)</f>
        <v>67624</v>
      </c>
    </row>
    <row r="12" spans="1:28" x14ac:dyDescent="0.3">
      <c r="A12" s="9" t="s">
        <v>117</v>
      </c>
      <c r="B12" s="13">
        <v>191700</v>
      </c>
      <c r="C12" s="13">
        <v>214500</v>
      </c>
      <c r="D12" s="13">
        <v>252868</v>
      </c>
      <c r="E12" s="13">
        <v>156500</v>
      </c>
      <c r="F12" s="13">
        <f>F9*0.199</f>
        <v>108863.149</v>
      </c>
      <c r="H12" s="8">
        <f>SUM(B12:F12)</f>
        <v>924431.14899999998</v>
      </c>
    </row>
    <row r="13" spans="1:28" x14ac:dyDescent="0.3">
      <c r="A13" s="9" t="s">
        <v>118</v>
      </c>
      <c r="B13" s="15">
        <v>209539</v>
      </c>
      <c r="C13" s="15">
        <v>282072</v>
      </c>
      <c r="D13" s="15">
        <v>383250</v>
      </c>
      <c r="E13" s="14">
        <v>252336</v>
      </c>
      <c r="F13" s="15">
        <v>153125</v>
      </c>
      <c r="G13" s="25"/>
      <c r="H13" s="8">
        <f>SUM(B13:F13)</f>
        <v>1280322</v>
      </c>
    </row>
    <row r="14" spans="1:28" x14ac:dyDescent="0.3">
      <c r="A14" s="9" t="s">
        <v>119</v>
      </c>
      <c r="B14" s="16">
        <f>SUM(B11:B13)</f>
        <v>415239</v>
      </c>
      <c r="C14" s="16">
        <f>SUM(C11:C13)</f>
        <v>512222</v>
      </c>
      <c r="D14" s="20">
        <f>SUM(D11:D13)</f>
        <v>654485</v>
      </c>
      <c r="E14" s="20">
        <f>SUM(E11:E13)</f>
        <v>420511</v>
      </c>
      <c r="F14" s="16">
        <f>SUM(F11:F13)</f>
        <v>269920.14899999998</v>
      </c>
      <c r="H14" s="19">
        <f>SUM(H11:H13)</f>
        <v>2272377.1490000002</v>
      </c>
    </row>
    <row r="15" spans="1:28" s="21" customFormat="1" x14ac:dyDescent="0.3">
      <c r="A15" s="21" t="s">
        <v>135</v>
      </c>
      <c r="B15" s="22">
        <f>+B9+B14</f>
        <v>1378439</v>
      </c>
      <c r="C15" s="22">
        <f>+C9+C14</f>
        <v>1589922</v>
      </c>
      <c r="D15" s="22">
        <f>+D9+D14</f>
        <v>1921179</v>
      </c>
      <c r="E15" s="22">
        <f>+E9+E14</f>
        <v>1225681</v>
      </c>
      <c r="F15" s="22">
        <f>+F9+F14</f>
        <v>816971.14899999998</v>
      </c>
      <c r="G15" s="23"/>
      <c r="H15" s="22">
        <f>+H9+H14</f>
        <v>6932192.1490000002</v>
      </c>
      <c r="I15" s="23"/>
      <c r="J15" s="30">
        <f>+H15+50000+25000</f>
        <v>7007192.1490000002</v>
      </c>
      <c r="K15" s="23"/>
      <c r="L15" s="23"/>
      <c r="M15" s="23"/>
      <c r="N15" s="23"/>
      <c r="O15" s="23"/>
      <c r="P15" s="23"/>
      <c r="Q15" s="23"/>
      <c r="R15" s="23"/>
      <c r="S15" s="23"/>
      <c r="T15" s="23"/>
      <c r="U15" s="23"/>
      <c r="V15" s="23"/>
      <c r="W15" s="23"/>
      <c r="X15" s="23"/>
      <c r="Y15" s="23"/>
      <c r="Z15" s="23"/>
      <c r="AA15" s="23"/>
      <c r="AB15" s="23"/>
    </row>
    <row r="17" spans="1:28" x14ac:dyDescent="0.3">
      <c r="A17" s="6" t="s">
        <v>35</v>
      </c>
    </row>
    <row r="18" spans="1:28" x14ac:dyDescent="0.3">
      <c r="A18" s="9" t="s">
        <v>120</v>
      </c>
      <c r="B18" s="11">
        <v>186670</v>
      </c>
      <c r="C18" s="11">
        <v>124957</v>
      </c>
      <c r="D18" s="11">
        <v>110225</v>
      </c>
      <c r="E18" s="11">
        <v>79256</v>
      </c>
      <c r="F18" s="11">
        <v>45000</v>
      </c>
      <c r="H18" s="8">
        <f>SUM(B18:F18)</f>
        <v>546108</v>
      </c>
    </row>
    <row r="19" spans="1:28" x14ac:dyDescent="0.3">
      <c r="A19" s="9" t="s">
        <v>122</v>
      </c>
      <c r="B19" s="14">
        <v>2707</v>
      </c>
      <c r="C19" s="14">
        <v>2030</v>
      </c>
      <c r="D19" s="14">
        <v>1600</v>
      </c>
      <c r="E19" s="14">
        <v>1150</v>
      </c>
      <c r="F19" s="14">
        <v>653</v>
      </c>
      <c r="H19" s="8">
        <f>SUM(B19:F19)</f>
        <v>8140</v>
      </c>
    </row>
    <row r="20" spans="1:28" x14ac:dyDescent="0.3">
      <c r="A20" s="9" t="s">
        <v>123</v>
      </c>
      <c r="B20" s="14">
        <v>37146</v>
      </c>
      <c r="C20" s="14">
        <v>27900</v>
      </c>
      <c r="D20" s="14">
        <v>22000</v>
      </c>
      <c r="E20" s="14">
        <v>15376</v>
      </c>
      <c r="F20" s="14">
        <v>8955</v>
      </c>
      <c r="H20" s="8">
        <f>SUM(B20:F20)</f>
        <v>111377</v>
      </c>
    </row>
    <row r="21" spans="1:28" x14ac:dyDescent="0.3">
      <c r="A21" s="9" t="s">
        <v>124</v>
      </c>
      <c r="B21" s="14">
        <v>27000</v>
      </c>
      <c r="C21" s="14">
        <v>19350</v>
      </c>
      <c r="D21" s="14">
        <v>28250</v>
      </c>
      <c r="E21" s="14">
        <v>16925</v>
      </c>
      <c r="F21" s="14">
        <f>8059+403</f>
        <v>8462</v>
      </c>
      <c r="H21" s="8">
        <f>SUM(B21:F21)</f>
        <v>99987</v>
      </c>
    </row>
    <row r="22" spans="1:28" s="9" customFormat="1" ht="12.6" customHeight="1" x14ac:dyDescent="0.3">
      <c r="A22" s="9" t="s">
        <v>125</v>
      </c>
      <c r="B22" s="15">
        <v>5000</v>
      </c>
      <c r="C22" s="15">
        <v>15000</v>
      </c>
      <c r="D22" s="15">
        <v>1000</v>
      </c>
      <c r="E22" s="15">
        <v>0</v>
      </c>
      <c r="F22" s="15">
        <v>5000</v>
      </c>
      <c r="G22" s="9" t="s">
        <v>15</v>
      </c>
      <c r="H22" s="8">
        <f>SUM(B22:F22)</f>
        <v>26000</v>
      </c>
    </row>
    <row r="23" spans="1:28" s="21" customFormat="1" x14ac:dyDescent="0.3">
      <c r="A23" s="21" t="s">
        <v>142</v>
      </c>
      <c r="B23" s="22">
        <f>SUM(B18:B22)</f>
        <v>258523</v>
      </c>
      <c r="C23" s="22">
        <f>SUM(C18:C22)</f>
        <v>189237</v>
      </c>
      <c r="D23" s="22">
        <f>SUM(D18:D22)</f>
        <v>163075</v>
      </c>
      <c r="E23" s="22">
        <f>SUM(E18:E22)</f>
        <v>112707</v>
      </c>
      <c r="F23" s="22">
        <f>SUM(F18:F22)</f>
        <v>68070</v>
      </c>
      <c r="G23" s="23"/>
      <c r="H23" s="22">
        <f>SUM(H18:H22)</f>
        <v>791612</v>
      </c>
      <c r="I23" s="23"/>
      <c r="J23" s="23"/>
      <c r="K23" s="23"/>
      <c r="L23" s="23"/>
      <c r="M23" s="23"/>
      <c r="N23" s="23"/>
      <c r="O23" s="23"/>
      <c r="P23" s="23"/>
      <c r="Q23" s="23"/>
      <c r="R23" s="23"/>
      <c r="S23" s="23"/>
      <c r="T23" s="23"/>
      <c r="U23" s="23"/>
      <c r="V23" s="23"/>
      <c r="W23" s="23"/>
      <c r="X23" s="23"/>
      <c r="Y23" s="23"/>
      <c r="Z23" s="23"/>
      <c r="AA23" s="23"/>
      <c r="AB23" s="23"/>
    </row>
    <row r="25" spans="1:28" x14ac:dyDescent="0.3">
      <c r="A25" s="6" t="s">
        <v>126</v>
      </c>
      <c r="E25" s="127" t="s">
        <v>15</v>
      </c>
    </row>
    <row r="26" spans="1:28" ht="15.75" customHeight="1" x14ac:dyDescent="0.3">
      <c r="A26" s="9" t="s">
        <v>1</v>
      </c>
      <c r="B26" s="10">
        <v>29000</v>
      </c>
      <c r="C26" s="10">
        <v>88700</v>
      </c>
      <c r="D26" s="10">
        <f>109240-15000</f>
        <v>94240</v>
      </c>
      <c r="E26" s="10">
        <v>0</v>
      </c>
      <c r="F26" s="10">
        <v>0</v>
      </c>
      <c r="H26" s="8">
        <f>SUM(B26:F26)</f>
        <v>211940</v>
      </c>
    </row>
    <row r="27" spans="1:28" ht="15.75" customHeight="1" x14ac:dyDescent="0.3">
      <c r="A27" s="9" t="s">
        <v>491</v>
      </c>
      <c r="B27" s="10"/>
      <c r="C27" s="10"/>
      <c r="D27" s="10">
        <v>15000</v>
      </c>
      <c r="E27" s="10"/>
      <c r="F27" s="10"/>
      <c r="H27" s="8">
        <f>SUM(B27:F27)</f>
        <v>15000</v>
      </c>
    </row>
    <row r="28" spans="1:28" x14ac:dyDescent="0.3">
      <c r="A28" s="9" t="s">
        <v>122</v>
      </c>
      <c r="B28" s="13">
        <v>425</v>
      </c>
      <c r="C28" s="13">
        <v>1300</v>
      </c>
      <c r="D28" s="13">
        <v>1584</v>
      </c>
      <c r="E28" s="13">
        <v>0</v>
      </c>
      <c r="F28" s="13">
        <f>F26*0.0145</f>
        <v>0</v>
      </c>
      <c r="H28" s="8">
        <f>SUM(B28:F28)</f>
        <v>3309</v>
      </c>
    </row>
    <row r="29" spans="1:28" x14ac:dyDescent="0.3">
      <c r="A29" s="9" t="s">
        <v>123</v>
      </c>
      <c r="B29" s="13">
        <v>5750</v>
      </c>
      <c r="C29" s="13">
        <v>17700</v>
      </c>
      <c r="D29" s="13">
        <v>21800</v>
      </c>
      <c r="E29" s="13">
        <v>0</v>
      </c>
      <c r="F29" s="13">
        <v>0</v>
      </c>
      <c r="H29" s="8">
        <f>SUM(B29:F29)</f>
        <v>45250</v>
      </c>
    </row>
    <row r="30" spans="1:28" x14ac:dyDescent="0.3">
      <c r="A30" s="9" t="s">
        <v>124</v>
      </c>
      <c r="B30" s="15">
        <v>10100</v>
      </c>
      <c r="C30" s="15">
        <v>22165</v>
      </c>
      <c r="D30" s="15">
        <v>16150</v>
      </c>
      <c r="E30" s="15">
        <v>0</v>
      </c>
      <c r="F30" s="15">
        <v>0</v>
      </c>
      <c r="H30" s="8">
        <f>SUM(B30:F30)</f>
        <v>48415</v>
      </c>
    </row>
    <row r="31" spans="1:28" s="21" customFormat="1" x14ac:dyDescent="0.3">
      <c r="A31" s="21" t="s">
        <v>143</v>
      </c>
      <c r="B31" s="22">
        <f>SUM(B26:B30)</f>
        <v>45275</v>
      </c>
      <c r="C31" s="22">
        <f>SUM(C26:C30)</f>
        <v>129865</v>
      </c>
      <c r="D31" s="22">
        <f>SUM(D26:D30)</f>
        <v>148774</v>
      </c>
      <c r="E31" s="22">
        <f>SUM(E25:E30)</f>
        <v>0</v>
      </c>
      <c r="F31" s="22">
        <f>SUM(F26:F30)</f>
        <v>0</v>
      </c>
      <c r="G31" s="23"/>
      <c r="H31" s="22">
        <f>SUM(H26:H30)</f>
        <v>323914</v>
      </c>
      <c r="I31" s="23"/>
      <c r="J31" s="23"/>
      <c r="K31" s="23"/>
      <c r="L31" s="23"/>
      <c r="M31" s="23"/>
      <c r="N31" s="23"/>
      <c r="O31" s="23"/>
      <c r="P31" s="23"/>
      <c r="Q31" s="23"/>
      <c r="R31" s="23"/>
      <c r="S31" s="23"/>
      <c r="T31" s="23"/>
      <c r="U31" s="23"/>
      <c r="V31" s="23"/>
      <c r="W31" s="23"/>
      <c r="X31" s="23"/>
      <c r="Y31" s="23"/>
      <c r="Z31" s="23"/>
      <c r="AA31" s="23"/>
      <c r="AB31" s="23"/>
    </row>
    <row r="33" spans="1:28" ht="16.5" customHeight="1" x14ac:dyDescent="0.3">
      <c r="A33" s="6" t="s">
        <v>218</v>
      </c>
    </row>
    <row r="34" spans="1:28" x14ac:dyDescent="0.3">
      <c r="A34" s="7" t="s">
        <v>1</v>
      </c>
      <c r="B34" s="25"/>
      <c r="C34" s="25"/>
      <c r="D34" s="25"/>
      <c r="E34" s="25"/>
      <c r="F34" s="25"/>
      <c r="H34" s="8">
        <v>230200</v>
      </c>
    </row>
    <row r="35" spans="1:28" ht="18" customHeight="1" x14ac:dyDescent="0.3">
      <c r="A35" s="9" t="s">
        <v>121</v>
      </c>
      <c r="B35" s="25"/>
      <c r="C35" s="25"/>
      <c r="D35" s="25"/>
      <c r="E35" s="25"/>
      <c r="F35" s="25"/>
      <c r="G35" s="4" t="s">
        <v>15</v>
      </c>
      <c r="H35" s="8">
        <v>10000</v>
      </c>
    </row>
    <row r="36" spans="1:28" x14ac:dyDescent="0.3">
      <c r="A36" s="7" t="s">
        <v>122</v>
      </c>
      <c r="B36" s="25"/>
      <c r="C36" s="25"/>
      <c r="D36" s="25"/>
      <c r="E36" s="25"/>
      <c r="F36" s="25"/>
      <c r="H36" s="8">
        <v>3340</v>
      </c>
    </row>
    <row r="37" spans="1:28" x14ac:dyDescent="0.3">
      <c r="A37" s="7" t="s">
        <v>123</v>
      </c>
      <c r="B37" s="25"/>
      <c r="C37" s="25"/>
      <c r="D37" s="25"/>
      <c r="E37" s="25"/>
      <c r="F37" s="25"/>
      <c r="H37" s="8">
        <v>45800</v>
      </c>
    </row>
    <row r="38" spans="1:28" x14ac:dyDescent="0.3">
      <c r="A38" s="9" t="s">
        <v>124</v>
      </c>
      <c r="B38" s="25"/>
      <c r="C38" s="25"/>
      <c r="D38" s="25"/>
      <c r="E38" s="25"/>
      <c r="F38" s="25"/>
      <c r="H38" s="8">
        <v>32240</v>
      </c>
    </row>
    <row r="39" spans="1:28" x14ac:dyDescent="0.3">
      <c r="A39" s="9" t="s">
        <v>470</v>
      </c>
      <c r="B39" s="25"/>
      <c r="C39" s="25"/>
      <c r="D39" s="25"/>
      <c r="E39" s="25"/>
      <c r="F39" s="25"/>
      <c r="H39" s="8">
        <v>40000</v>
      </c>
    </row>
    <row r="40" spans="1:28" x14ac:dyDescent="0.3">
      <c r="A40" s="9" t="s">
        <v>471</v>
      </c>
      <c r="B40" s="25"/>
      <c r="C40" s="25"/>
      <c r="D40" s="25"/>
      <c r="E40" s="25"/>
      <c r="F40" s="25"/>
      <c r="H40" s="8">
        <v>15000</v>
      </c>
    </row>
    <row r="41" spans="1:28" x14ac:dyDescent="0.3">
      <c r="A41" s="9" t="s">
        <v>484</v>
      </c>
      <c r="B41" s="25"/>
      <c r="C41" s="25"/>
      <c r="D41" s="25"/>
      <c r="E41" s="25"/>
      <c r="F41" s="25"/>
      <c r="H41" s="8">
        <v>10000</v>
      </c>
    </row>
    <row r="42" spans="1:28" x14ac:dyDescent="0.3">
      <c r="A42" s="9" t="s">
        <v>42</v>
      </c>
      <c r="B42" s="25"/>
      <c r="C42" s="25"/>
      <c r="D42" s="25"/>
      <c r="E42" s="25"/>
      <c r="F42" s="25"/>
      <c r="H42" s="8">
        <v>40000</v>
      </c>
    </row>
    <row r="43" spans="1:28" x14ac:dyDescent="0.3">
      <c r="A43" s="9" t="s">
        <v>472</v>
      </c>
      <c r="B43" s="25"/>
      <c r="C43" s="25"/>
      <c r="D43" s="25"/>
      <c r="E43" s="25"/>
      <c r="F43" s="25"/>
      <c r="H43" s="8">
        <v>25000</v>
      </c>
    </row>
    <row r="44" spans="1:28" x14ac:dyDescent="0.3">
      <c r="A44" s="9" t="s">
        <v>473</v>
      </c>
      <c r="B44" s="25"/>
      <c r="C44" s="25"/>
      <c r="D44" s="25"/>
      <c r="E44" s="25"/>
      <c r="F44" s="25"/>
      <c r="H44" s="24">
        <v>50000</v>
      </c>
    </row>
    <row r="45" spans="1:28" s="21" customFormat="1" x14ac:dyDescent="0.3">
      <c r="A45" s="21" t="s">
        <v>158</v>
      </c>
      <c r="B45" s="22">
        <f>SUM(B34:B44)</f>
        <v>0</v>
      </c>
      <c r="C45" s="22">
        <f>SUM(C34:C44)</f>
        <v>0</v>
      </c>
      <c r="D45" s="22">
        <f>SUM(D34:D44)</f>
        <v>0</v>
      </c>
      <c r="E45" s="22">
        <f>SUM(E34:E44)</f>
        <v>0</v>
      </c>
      <c r="F45" s="22">
        <f>SUM(F34:F44)</f>
        <v>0</v>
      </c>
      <c r="G45" s="4" t="s">
        <v>485</v>
      </c>
      <c r="H45" s="22">
        <f>SUM(H34:H44)</f>
        <v>501580</v>
      </c>
      <c r="I45" s="23"/>
      <c r="J45" s="23"/>
      <c r="K45" s="23"/>
      <c r="L45" s="23"/>
      <c r="M45" s="23"/>
      <c r="N45" s="23"/>
      <c r="O45" s="23"/>
      <c r="P45" s="23"/>
      <c r="Q45" s="23"/>
      <c r="R45" s="23"/>
      <c r="S45" s="23"/>
      <c r="T45" s="23"/>
      <c r="U45" s="23"/>
      <c r="V45" s="23"/>
      <c r="W45" s="23"/>
      <c r="X45" s="23"/>
      <c r="Y45" s="23"/>
      <c r="Z45" s="23"/>
      <c r="AA45" s="23"/>
      <c r="AB45" s="23"/>
    </row>
    <row r="46" spans="1:28" ht="12.75" customHeight="1" x14ac:dyDescent="0.3"/>
    <row r="47" spans="1:28" x14ac:dyDescent="0.3">
      <c r="A47" s="6" t="s">
        <v>20</v>
      </c>
    </row>
    <row r="48" spans="1:28" x14ac:dyDescent="0.3">
      <c r="A48" s="9" t="s">
        <v>1</v>
      </c>
      <c r="B48" s="10">
        <v>192500</v>
      </c>
      <c r="C48" s="10">
        <v>147205</v>
      </c>
      <c r="D48" s="10">
        <f>232700-7200</f>
        <v>225500</v>
      </c>
      <c r="E48" s="10">
        <v>151500</v>
      </c>
      <c r="F48" s="10">
        <v>152520</v>
      </c>
      <c r="G48" s="4" t="s">
        <v>15</v>
      </c>
      <c r="H48" s="8">
        <f>SUM(B48:F48)</f>
        <v>869225</v>
      </c>
    </row>
    <row r="49" spans="1:28" ht="16.5" customHeight="1" x14ac:dyDescent="0.3">
      <c r="A49" s="9" t="s">
        <v>271</v>
      </c>
      <c r="B49" s="10">
        <v>18000</v>
      </c>
      <c r="C49" s="10">
        <v>20000</v>
      </c>
      <c r="D49" s="10">
        <v>23000</v>
      </c>
      <c r="E49" s="10">
        <v>13000</v>
      </c>
      <c r="F49" s="10">
        <v>7500</v>
      </c>
      <c r="G49" s="4" t="s">
        <v>15</v>
      </c>
      <c r="H49" s="8">
        <f>SUM(B49:F49)</f>
        <v>81500</v>
      </c>
    </row>
    <row r="50" spans="1:28" x14ac:dyDescent="0.3">
      <c r="A50" s="9" t="s">
        <v>122</v>
      </c>
      <c r="B50" s="10">
        <v>2800</v>
      </c>
      <c r="C50" s="10">
        <v>2150</v>
      </c>
      <c r="D50" s="10">
        <v>3610</v>
      </c>
      <c r="E50" s="10">
        <v>2400</v>
      </c>
      <c r="F50" s="10">
        <v>2212</v>
      </c>
      <c r="H50" s="8">
        <f>SUM(B50:F50)</f>
        <v>13172</v>
      </c>
    </row>
    <row r="51" spans="1:28" x14ac:dyDescent="0.3">
      <c r="A51" s="9" t="s">
        <v>123</v>
      </c>
      <c r="B51" s="11">
        <v>38500</v>
      </c>
      <c r="C51" s="11">
        <v>29300</v>
      </c>
      <c r="D51" s="11">
        <v>46300</v>
      </c>
      <c r="E51" s="11">
        <v>29384</v>
      </c>
      <c r="F51" s="11">
        <v>30351</v>
      </c>
      <c r="H51" s="8">
        <f>SUM(B51:F51)</f>
        <v>173835</v>
      </c>
    </row>
    <row r="52" spans="1:28" x14ac:dyDescent="0.3">
      <c r="A52" s="179" t="s">
        <v>124</v>
      </c>
      <c r="B52" s="15">
        <v>40300</v>
      </c>
      <c r="C52" s="15">
        <v>32300</v>
      </c>
      <c r="D52" s="15">
        <v>42800</v>
      </c>
      <c r="E52" s="15">
        <v>32250</v>
      </c>
      <c r="F52" s="15">
        <v>32237</v>
      </c>
      <c r="G52" s="180"/>
      <c r="H52" s="8">
        <f>SUM(B52:F52)</f>
        <v>179887</v>
      </c>
    </row>
    <row r="53" spans="1:28" s="21" customFormat="1" x14ac:dyDescent="0.3">
      <c r="A53" s="21" t="s">
        <v>144</v>
      </c>
      <c r="B53" s="22">
        <f>SUM(B48:B52)</f>
        <v>292100</v>
      </c>
      <c r="C53" s="22">
        <f>SUM(C48:C52)</f>
        <v>230955</v>
      </c>
      <c r="D53" s="22">
        <f>SUM(D48:D52)</f>
        <v>341210</v>
      </c>
      <c r="E53" s="22">
        <f>SUM(E48:E52)</f>
        <v>228534</v>
      </c>
      <c r="F53" s="22">
        <f>SUM(F48:F52)</f>
        <v>224820</v>
      </c>
      <c r="G53" s="23"/>
      <c r="H53" s="22">
        <f>SUM(H48:H52)</f>
        <v>1317619</v>
      </c>
      <c r="I53" s="23"/>
      <c r="J53" s="23"/>
      <c r="K53" s="23"/>
      <c r="L53" s="23"/>
      <c r="M53" s="23"/>
      <c r="N53" s="23"/>
      <c r="O53" s="23"/>
      <c r="P53" s="23"/>
      <c r="Q53" s="23"/>
      <c r="R53" s="23"/>
      <c r="S53" s="23"/>
      <c r="T53" s="23"/>
      <c r="U53" s="23"/>
      <c r="V53" s="23"/>
      <c r="W53" s="23"/>
      <c r="X53" s="23"/>
      <c r="Y53" s="23"/>
      <c r="Z53" s="23"/>
      <c r="AA53" s="23"/>
      <c r="AB53" s="23"/>
    </row>
    <row r="54" spans="1:28" ht="13.5" customHeight="1" x14ac:dyDescent="0.3"/>
    <row r="55" spans="1:28" x14ac:dyDescent="0.3">
      <c r="A55" s="6" t="s">
        <v>131</v>
      </c>
    </row>
    <row r="56" spans="1:28" x14ac:dyDescent="0.3">
      <c r="A56" s="7" t="s">
        <v>1</v>
      </c>
      <c r="B56" s="25"/>
      <c r="C56" s="25"/>
      <c r="D56" s="25"/>
      <c r="E56" s="25"/>
      <c r="F56" s="25"/>
      <c r="G56" s="4" t="s">
        <v>307</v>
      </c>
      <c r="H56" s="8">
        <v>205702</v>
      </c>
    </row>
    <row r="57" spans="1:28" ht="19.5" customHeight="1" x14ac:dyDescent="0.3">
      <c r="A57" s="9" t="s">
        <v>213</v>
      </c>
      <c r="B57" s="25"/>
      <c r="C57" s="25"/>
      <c r="D57" s="25"/>
      <c r="E57" s="25"/>
      <c r="F57" s="25"/>
      <c r="G57" s="4" t="s">
        <v>15</v>
      </c>
      <c r="H57" s="8">
        <v>10000</v>
      </c>
    </row>
    <row r="58" spans="1:28" ht="18.75" customHeight="1" x14ac:dyDescent="0.3">
      <c r="A58" s="7" t="s">
        <v>122</v>
      </c>
      <c r="B58" s="25"/>
      <c r="C58" s="25"/>
      <c r="D58" s="25"/>
      <c r="E58" s="25"/>
      <c r="F58" s="25"/>
      <c r="G58" s="114" t="s">
        <v>15</v>
      </c>
      <c r="H58" s="8">
        <v>3000</v>
      </c>
    </row>
    <row r="59" spans="1:28" x14ac:dyDescent="0.3">
      <c r="A59" s="7" t="s">
        <v>123</v>
      </c>
      <c r="B59" s="25"/>
      <c r="C59" s="25"/>
      <c r="D59" s="25"/>
      <c r="E59" s="25"/>
      <c r="F59" s="25"/>
      <c r="H59" s="8">
        <v>41000</v>
      </c>
    </row>
    <row r="60" spans="1:28" x14ac:dyDescent="0.3">
      <c r="A60" s="7" t="s">
        <v>124</v>
      </c>
      <c r="B60" s="25"/>
      <c r="C60" s="25"/>
      <c r="D60" s="25"/>
      <c r="E60" s="25"/>
      <c r="F60" s="25"/>
      <c r="H60" s="8">
        <v>32240</v>
      </c>
    </row>
    <row r="61" spans="1:28" x14ac:dyDescent="0.3">
      <c r="A61" s="7" t="s">
        <v>486</v>
      </c>
      <c r="B61" s="25"/>
      <c r="C61" s="25"/>
      <c r="D61" s="25"/>
      <c r="E61" s="25"/>
      <c r="F61" s="25"/>
      <c r="H61" s="8">
        <v>3600</v>
      </c>
    </row>
    <row r="62" spans="1:28" x14ac:dyDescent="0.3">
      <c r="A62" s="7" t="s">
        <v>0</v>
      </c>
      <c r="B62" s="25"/>
      <c r="C62" s="25"/>
      <c r="D62" s="25"/>
      <c r="E62" s="25"/>
      <c r="F62" s="25"/>
      <c r="H62" s="8">
        <v>2500</v>
      </c>
    </row>
    <row r="63" spans="1:28" x14ac:dyDescent="0.3">
      <c r="A63" s="7" t="s">
        <v>57</v>
      </c>
      <c r="B63" s="25"/>
      <c r="C63" s="25"/>
      <c r="D63" s="25"/>
      <c r="E63" s="25"/>
      <c r="F63" s="25"/>
      <c r="H63" s="8">
        <v>1500</v>
      </c>
    </row>
    <row r="64" spans="1:28" x14ac:dyDescent="0.3">
      <c r="A64" s="9" t="s">
        <v>132</v>
      </c>
      <c r="B64" s="25"/>
      <c r="C64" s="25"/>
      <c r="D64" s="25"/>
      <c r="E64" s="25"/>
      <c r="F64" s="25"/>
      <c r="H64" s="8">
        <v>500</v>
      </c>
    </row>
    <row r="65" spans="1:28" x14ac:dyDescent="0.3">
      <c r="A65" s="7" t="s">
        <v>7</v>
      </c>
      <c r="B65" s="25"/>
      <c r="C65" s="25"/>
      <c r="D65" s="25"/>
      <c r="E65" s="25"/>
      <c r="F65" s="25"/>
      <c r="H65" s="8">
        <v>12000</v>
      </c>
    </row>
    <row r="66" spans="1:28" x14ac:dyDescent="0.3">
      <c r="A66" s="7" t="s">
        <v>478</v>
      </c>
      <c r="B66" s="25"/>
      <c r="C66" s="25"/>
      <c r="D66" s="25"/>
      <c r="E66" s="25"/>
      <c r="F66" s="25"/>
      <c r="H66" s="8">
        <v>2500</v>
      </c>
    </row>
    <row r="67" spans="1:28" x14ac:dyDescent="0.3">
      <c r="A67" s="7" t="s">
        <v>133</v>
      </c>
      <c r="B67" s="129"/>
      <c r="C67" s="129"/>
      <c r="D67" s="129"/>
      <c r="E67" s="129"/>
      <c r="F67" s="129"/>
      <c r="H67" s="24">
        <v>20000</v>
      </c>
    </row>
    <row r="68" spans="1:28" s="27" customFormat="1" ht="22.5" customHeight="1" x14ac:dyDescent="0.3">
      <c r="A68" s="32" t="s">
        <v>136</v>
      </c>
      <c r="B68" s="33">
        <f>SUM(B56:B67)</f>
        <v>0</v>
      </c>
      <c r="C68" s="33">
        <f>SUM(C56:C67)</f>
        <v>0</v>
      </c>
      <c r="D68" s="33">
        <f>SUM(D56:D67)</f>
        <v>0</v>
      </c>
      <c r="E68" s="33">
        <f>SUM(E56:E67)</f>
        <v>0</v>
      </c>
      <c r="F68" s="33">
        <f>SUM(F56:F67)</f>
        <v>0</v>
      </c>
      <c r="G68" s="4"/>
      <c r="H68" s="33">
        <f>SUM(H56:H67)</f>
        <v>334542</v>
      </c>
      <c r="I68" s="4"/>
      <c r="J68" s="4"/>
      <c r="K68" s="4"/>
      <c r="L68" s="4"/>
      <c r="M68" s="4"/>
      <c r="N68" s="4"/>
      <c r="O68" s="4"/>
      <c r="P68" s="4"/>
      <c r="Q68" s="4"/>
      <c r="R68" s="4"/>
      <c r="S68" s="4"/>
      <c r="T68" s="4"/>
      <c r="U68" s="4"/>
      <c r="V68" s="4"/>
      <c r="W68" s="4"/>
      <c r="X68" s="4"/>
      <c r="Y68" s="4"/>
      <c r="Z68" s="4"/>
      <c r="AA68" s="4"/>
      <c r="AB68" s="4"/>
    </row>
    <row r="69" spans="1:28" x14ac:dyDescent="0.3">
      <c r="B69" s="140"/>
      <c r="C69" s="140"/>
      <c r="D69" s="140"/>
      <c r="E69" s="140"/>
      <c r="F69" s="140"/>
      <c r="G69" s="134"/>
    </row>
    <row r="70" spans="1:28" x14ac:dyDescent="0.3">
      <c r="A70" s="6" t="s">
        <v>134</v>
      </c>
    </row>
    <row r="71" spans="1:28" x14ac:dyDescent="0.3">
      <c r="A71" s="9" t="s">
        <v>1</v>
      </c>
      <c r="B71" s="25"/>
      <c r="C71" s="25"/>
      <c r="D71" s="25"/>
      <c r="E71" s="25"/>
      <c r="F71" s="25"/>
      <c r="G71" s="4" t="s">
        <v>307</v>
      </c>
      <c r="H71" s="8">
        <v>175000</v>
      </c>
      <c r="J71" s="4" t="s">
        <v>307</v>
      </c>
    </row>
    <row r="72" spans="1:28" x14ac:dyDescent="0.3">
      <c r="A72" s="9" t="s">
        <v>122</v>
      </c>
      <c r="B72" s="25"/>
      <c r="C72" s="25"/>
      <c r="D72" s="25"/>
      <c r="E72" s="25"/>
      <c r="F72" s="25"/>
      <c r="H72" s="8">
        <f>H71*0.0145</f>
        <v>2537.5</v>
      </c>
    </row>
    <row r="73" spans="1:28" x14ac:dyDescent="0.3">
      <c r="A73" s="9" t="s">
        <v>123</v>
      </c>
      <c r="B73" s="25"/>
      <c r="C73" s="25"/>
      <c r="D73" s="25"/>
      <c r="E73" s="25"/>
      <c r="F73" s="25"/>
      <c r="H73" s="8">
        <f>H71*0.1995</f>
        <v>34912.5</v>
      </c>
    </row>
    <row r="74" spans="1:28" x14ac:dyDescent="0.3">
      <c r="A74" s="9" t="s">
        <v>124</v>
      </c>
      <c r="B74" s="129"/>
      <c r="C74" s="129"/>
      <c r="D74" s="129"/>
      <c r="E74" s="129"/>
      <c r="F74" s="129"/>
      <c r="H74" s="24">
        <v>40500</v>
      </c>
    </row>
    <row r="75" spans="1:28" s="35" customFormat="1" x14ac:dyDescent="0.3">
      <c r="A75" s="32" t="s">
        <v>137</v>
      </c>
      <c r="B75" s="33">
        <f>SUM(B71:B74)</f>
        <v>0</v>
      </c>
      <c r="C75" s="34">
        <f>SUM(C71:C74)</f>
        <v>0</v>
      </c>
      <c r="D75" s="34">
        <f>SUM(D71:D74)</f>
        <v>0</v>
      </c>
      <c r="E75" s="34">
        <f>SUM(E71:E74)</f>
        <v>0</v>
      </c>
      <c r="F75" s="33">
        <f>SUM(F71:F74)</f>
        <v>0</v>
      </c>
      <c r="G75" s="4"/>
      <c r="H75" s="34">
        <f>SUM(H71:H74)</f>
        <v>252950</v>
      </c>
      <c r="I75" s="4"/>
      <c r="J75" s="4"/>
      <c r="K75" s="4"/>
      <c r="L75" s="4"/>
      <c r="M75" s="4"/>
      <c r="N75" s="4"/>
      <c r="O75" s="4"/>
      <c r="P75" s="4"/>
      <c r="Q75" s="4"/>
      <c r="R75" s="4"/>
      <c r="S75" s="4"/>
      <c r="T75" s="4"/>
      <c r="U75" s="4"/>
      <c r="V75" s="4"/>
      <c r="W75" s="4"/>
      <c r="X75" s="4"/>
      <c r="Y75" s="4"/>
      <c r="Z75" s="4"/>
      <c r="AA75" s="4"/>
      <c r="AB75" s="4"/>
    </row>
    <row r="77" spans="1:28" x14ac:dyDescent="0.3">
      <c r="A77" s="6" t="s">
        <v>236</v>
      </c>
    </row>
    <row r="78" spans="1:28" x14ac:dyDescent="0.3">
      <c r="A78" s="9" t="s">
        <v>1</v>
      </c>
      <c r="B78" s="25"/>
      <c r="C78" s="25"/>
      <c r="D78" s="25"/>
      <c r="E78" s="51"/>
      <c r="F78" s="25"/>
      <c r="G78" s="4" t="s">
        <v>267</v>
      </c>
      <c r="H78" s="51">
        <v>70400</v>
      </c>
    </row>
    <row r="79" spans="1:28" x14ac:dyDescent="0.3">
      <c r="A79" s="9" t="s">
        <v>122</v>
      </c>
      <c r="B79" s="25"/>
      <c r="C79" s="25"/>
      <c r="D79" s="25"/>
      <c r="E79" s="51"/>
      <c r="F79" s="25"/>
      <c r="G79" s="4" t="s">
        <v>267</v>
      </c>
      <c r="H79" s="51">
        <f>H78*0.0145</f>
        <v>1020.8000000000001</v>
      </c>
    </row>
    <row r="80" spans="1:28" x14ac:dyDescent="0.3">
      <c r="A80" s="9" t="s">
        <v>123</v>
      </c>
      <c r="B80" s="26"/>
      <c r="C80" s="26"/>
      <c r="D80" s="26"/>
      <c r="E80" s="58"/>
      <c r="F80" s="26"/>
      <c r="G80" s="180" t="s">
        <v>267</v>
      </c>
      <c r="H80" s="58">
        <f>H78*0.1995</f>
        <v>14044.800000000001</v>
      </c>
    </row>
    <row r="81" spans="1:8" x14ac:dyDescent="0.3">
      <c r="A81" s="9" t="s">
        <v>487</v>
      </c>
      <c r="B81" s="26"/>
      <c r="C81" s="26"/>
      <c r="D81" s="26"/>
      <c r="E81" s="58"/>
      <c r="F81" s="26"/>
      <c r="G81" s="180"/>
      <c r="H81" s="58">
        <v>25000</v>
      </c>
    </row>
    <row r="82" spans="1:8" x14ac:dyDescent="0.3">
      <c r="A82" s="9" t="s">
        <v>488</v>
      </c>
      <c r="B82" s="129"/>
      <c r="C82" s="129"/>
      <c r="D82" s="129"/>
      <c r="E82" s="63"/>
      <c r="F82" s="129"/>
      <c r="G82" s="267"/>
      <c r="H82" s="63">
        <v>40000</v>
      </c>
    </row>
    <row r="83" spans="1:8" x14ac:dyDescent="0.3">
      <c r="A83" s="35" t="s">
        <v>247</v>
      </c>
      <c r="B83" s="153">
        <v>0</v>
      </c>
      <c r="C83" s="153">
        <v>0</v>
      </c>
      <c r="D83" s="153">
        <v>0</v>
      </c>
      <c r="E83" s="152">
        <f>+E78+E79+E80</f>
        <v>0</v>
      </c>
      <c r="F83" s="153">
        <v>0</v>
      </c>
      <c r="H83" s="22">
        <f>SUM(H78:H82)</f>
        <v>150465.60000000001</v>
      </c>
    </row>
    <row r="85" spans="1:8" x14ac:dyDescent="0.3">
      <c r="A85" s="6" t="s">
        <v>138</v>
      </c>
    </row>
    <row r="86" spans="1:8" x14ac:dyDescent="0.3">
      <c r="A86" s="9" t="s">
        <v>1</v>
      </c>
      <c r="B86" s="25">
        <v>0</v>
      </c>
      <c r="C86" s="25">
        <v>0</v>
      </c>
      <c r="D86" s="25">
        <v>7200</v>
      </c>
      <c r="E86" s="25">
        <v>0</v>
      </c>
      <c r="F86" s="25">
        <v>0</v>
      </c>
      <c r="G86" s="4" t="s">
        <v>307</v>
      </c>
      <c r="H86" s="8">
        <v>7200</v>
      </c>
    </row>
    <row r="87" spans="1:8" x14ac:dyDescent="0.3">
      <c r="A87" s="9" t="s">
        <v>122</v>
      </c>
      <c r="B87" s="25">
        <v>0</v>
      </c>
      <c r="C87" s="25">
        <v>0</v>
      </c>
      <c r="D87" s="25">
        <f>D86*0.0145</f>
        <v>104.4</v>
      </c>
      <c r="E87" s="25">
        <v>0</v>
      </c>
      <c r="F87" s="25">
        <v>0</v>
      </c>
      <c r="H87" s="8">
        <v>104</v>
      </c>
    </row>
    <row r="88" spans="1:8" x14ac:dyDescent="0.3">
      <c r="A88" s="9" t="s">
        <v>123</v>
      </c>
      <c r="B88" s="25">
        <v>0</v>
      </c>
      <c r="C88" s="25">
        <v>0</v>
      </c>
      <c r="D88" s="25">
        <v>1432</v>
      </c>
      <c r="E88" s="25">
        <v>0</v>
      </c>
      <c r="F88" s="25">
        <v>0</v>
      </c>
      <c r="H88" s="8">
        <v>1397</v>
      </c>
    </row>
    <row r="89" spans="1:8" x14ac:dyDescent="0.3">
      <c r="A89" s="9" t="s">
        <v>124</v>
      </c>
      <c r="B89" s="25">
        <v>0</v>
      </c>
      <c r="C89" s="25">
        <v>0</v>
      </c>
      <c r="D89" s="25">
        <f>$H89*0.15</f>
        <v>0</v>
      </c>
      <c r="E89" s="25">
        <v>0</v>
      </c>
      <c r="F89" s="25">
        <v>0</v>
      </c>
      <c r="H89" s="8">
        <v>0</v>
      </c>
    </row>
    <row r="90" spans="1:8" x14ac:dyDescent="0.3">
      <c r="A90" s="9" t="s">
        <v>228</v>
      </c>
      <c r="B90" s="25"/>
      <c r="C90" s="25"/>
      <c r="D90" s="25"/>
      <c r="E90" s="25"/>
      <c r="F90" s="25"/>
      <c r="H90" s="8">
        <v>250000</v>
      </c>
    </row>
    <row r="91" spans="1:8" x14ac:dyDescent="0.3">
      <c r="A91" s="9" t="s">
        <v>489</v>
      </c>
      <c r="B91" s="25"/>
      <c r="C91" s="25"/>
      <c r="D91" s="25"/>
      <c r="E91" s="25"/>
      <c r="F91" s="25"/>
      <c r="H91" s="8">
        <v>72000</v>
      </c>
    </row>
    <row r="92" spans="1:8" x14ac:dyDescent="0.3">
      <c r="A92" s="9" t="s">
        <v>11</v>
      </c>
      <c r="B92" s="25"/>
      <c r="C92" s="25"/>
      <c r="D92" s="25"/>
      <c r="E92" s="25"/>
      <c r="F92" s="25"/>
      <c r="H92" s="8">
        <v>123000</v>
      </c>
    </row>
    <row r="93" spans="1:8" x14ac:dyDescent="0.3">
      <c r="A93" s="9" t="s">
        <v>12</v>
      </c>
      <c r="B93" s="25"/>
      <c r="C93" s="25"/>
      <c r="D93" s="25"/>
      <c r="E93" s="25"/>
      <c r="F93" s="25"/>
      <c r="H93" s="8">
        <v>15000</v>
      </c>
    </row>
    <row r="94" spans="1:8" x14ac:dyDescent="0.3">
      <c r="A94" s="9" t="s">
        <v>13</v>
      </c>
      <c r="B94" s="25"/>
      <c r="C94" s="25"/>
      <c r="D94" s="25"/>
      <c r="E94" s="25"/>
      <c r="F94" s="25"/>
      <c r="H94" s="8">
        <v>28000</v>
      </c>
    </row>
    <row r="95" spans="1:8" x14ac:dyDescent="0.3">
      <c r="A95" s="9" t="s">
        <v>64</v>
      </c>
      <c r="B95" s="25"/>
      <c r="C95" s="25"/>
      <c r="D95" s="25"/>
      <c r="E95" s="25"/>
      <c r="F95" s="25"/>
      <c r="G95" s="4" t="s">
        <v>15</v>
      </c>
      <c r="H95" s="8">
        <v>60000</v>
      </c>
    </row>
    <row r="96" spans="1:8" x14ac:dyDescent="0.3">
      <c r="A96" s="9" t="s">
        <v>48</v>
      </c>
      <c r="B96" s="25"/>
      <c r="C96" s="25"/>
      <c r="D96" s="25"/>
      <c r="E96" s="25"/>
      <c r="F96" s="25"/>
      <c r="G96" s="4" t="s">
        <v>15</v>
      </c>
      <c r="H96" s="8">
        <v>16000</v>
      </c>
    </row>
    <row r="97" spans="1:28" s="27" customFormat="1" x14ac:dyDescent="0.3">
      <c r="A97" s="32" t="s">
        <v>138</v>
      </c>
      <c r="B97" s="36">
        <f>SUM(B86:B96)</f>
        <v>0</v>
      </c>
      <c r="C97" s="36">
        <f>SUM(C86:C96)</f>
        <v>0</v>
      </c>
      <c r="D97" s="36">
        <f>SUM(D86:D96)</f>
        <v>8736.4</v>
      </c>
      <c r="E97" s="36">
        <f>SUM(E86:E96)</f>
        <v>0</v>
      </c>
      <c r="F97" s="36">
        <f>SUM(F86:F96)</f>
        <v>0</v>
      </c>
      <c r="G97" s="4"/>
      <c r="H97" s="36">
        <f>SUM(H86:H96)</f>
        <v>572701</v>
      </c>
      <c r="I97" s="4"/>
      <c r="J97" s="4"/>
      <c r="K97" s="4"/>
      <c r="L97" s="4"/>
      <c r="M97" s="4"/>
      <c r="N97" s="4"/>
      <c r="O97" s="4"/>
      <c r="P97" s="4"/>
      <c r="Q97" s="4"/>
      <c r="R97" s="4"/>
      <c r="S97" s="4"/>
      <c r="T97" s="4"/>
      <c r="U97" s="4"/>
      <c r="V97" s="4"/>
      <c r="W97" s="4"/>
      <c r="X97" s="4"/>
      <c r="Y97" s="4"/>
      <c r="Z97" s="4"/>
      <c r="AA97" s="4"/>
      <c r="AB97" s="4"/>
    </row>
    <row r="98" spans="1:28" x14ac:dyDescent="0.3">
      <c r="B98" s="140"/>
      <c r="C98" s="140"/>
      <c r="D98" s="140"/>
      <c r="E98" s="140"/>
      <c r="F98" s="140"/>
      <c r="G98" s="134"/>
    </row>
  </sheetData>
  <pageMargins left="0.7" right="0.7" top="0.75" bottom="0.75" header="0.3" footer="0.3"/>
  <pageSetup orientation="landscape" r:id="rId1"/>
  <headerFooter>
    <oddHeader>&amp;CCMO Expense
2017-2018 Budget Draft #2
July 1, 2017</oddHeader>
    <oddFooter>&amp;L&amp;D&amp;R&amp;P</oddFooter>
  </headerFooter>
  <rowBreaks count="1" manualBreakCount="1">
    <brk id="32"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4"/>
  <sheetViews>
    <sheetView zoomScale="90" zoomScaleNormal="90" workbookViewId="0">
      <pane xSplit="1" ySplit="2" topLeftCell="B12" activePane="bottomRight" state="frozen"/>
      <selection pane="topRight" activeCell="B1" sqref="B1"/>
      <selection pane="bottomLeft" activeCell="A3" sqref="A3"/>
      <selection pane="bottomRight" sqref="A1:IV65536"/>
    </sheetView>
  </sheetViews>
  <sheetFormatPr defaultColWidth="9.109375" defaultRowHeight="14.4" x14ac:dyDescent="0.3"/>
  <cols>
    <col min="1" max="1" width="27.88671875" style="3" customWidth="1"/>
    <col min="2" max="5" width="11.109375" style="3" bestFit="1" customWidth="1"/>
    <col min="6" max="6" width="11.5546875" style="3" customWidth="1"/>
    <col min="7" max="7" width="8.44140625" style="3" bestFit="1" customWidth="1"/>
    <col min="8" max="8" width="11" style="3" bestFit="1" customWidth="1"/>
    <col min="9" max="9" width="21" style="4" customWidth="1"/>
    <col min="10" max="10" width="10.6640625" style="3" customWidth="1"/>
    <col min="11" max="11" width="9.109375" style="4" customWidth="1"/>
    <col min="12" max="12" width="30.33203125" style="4" customWidth="1"/>
    <col min="13" max="30" width="9.109375" style="4"/>
    <col min="31" max="16384" width="9.109375" style="3"/>
  </cols>
  <sheetData>
    <row r="1" spans="1:30" ht="15" thickBot="1" x14ac:dyDescent="0.35">
      <c r="A1" s="3" t="s">
        <v>15</v>
      </c>
      <c r="B1" s="136">
        <v>428</v>
      </c>
      <c r="C1" s="193">
        <v>443</v>
      </c>
      <c r="D1" s="136">
        <f>'ES detail'!C2</f>
        <v>494</v>
      </c>
      <c r="E1" s="136">
        <v>309</v>
      </c>
      <c r="F1" s="193">
        <v>280</v>
      </c>
      <c r="G1" s="136"/>
      <c r="H1" s="136">
        <f>SUM(B1:G1)</f>
        <v>1954</v>
      </c>
      <c r="I1" s="134" t="s">
        <v>15</v>
      </c>
      <c r="J1" s="135"/>
    </row>
    <row r="2" spans="1:30" ht="19.5" customHeight="1" thickBot="1" x14ac:dyDescent="0.35">
      <c r="B2" s="5" t="s">
        <v>108</v>
      </c>
      <c r="C2" s="5" t="s">
        <v>109</v>
      </c>
      <c r="D2" s="5" t="s">
        <v>110</v>
      </c>
      <c r="E2" s="5" t="s">
        <v>183</v>
      </c>
      <c r="F2" s="5" t="s">
        <v>305</v>
      </c>
      <c r="G2" s="5" t="s">
        <v>182</v>
      </c>
      <c r="H2" s="5" t="s">
        <v>107</v>
      </c>
      <c r="I2" s="4" t="s">
        <v>184</v>
      </c>
      <c r="J2" s="5" t="s">
        <v>107</v>
      </c>
    </row>
    <row r="3" spans="1:30" ht="17.25" customHeight="1" x14ac:dyDescent="0.3">
      <c r="A3" s="6" t="s">
        <v>30</v>
      </c>
      <c r="B3" s="127">
        <v>40000</v>
      </c>
      <c r="C3" s="127">
        <v>42810</v>
      </c>
      <c r="D3" s="127">
        <v>50000</v>
      </c>
      <c r="E3" s="127">
        <v>30873</v>
      </c>
      <c r="F3" s="127">
        <v>30000</v>
      </c>
      <c r="I3" s="4" t="s">
        <v>430</v>
      </c>
    </row>
    <row r="4" spans="1:30" x14ac:dyDescent="0.3">
      <c r="A4" s="7" t="s">
        <v>1</v>
      </c>
      <c r="B4" s="127"/>
      <c r="C4" s="127"/>
      <c r="D4" s="127"/>
      <c r="E4" s="127"/>
      <c r="F4" s="127"/>
      <c r="H4" s="8" t="s">
        <v>15</v>
      </c>
      <c r="J4" s="8" t="s">
        <v>15</v>
      </c>
    </row>
    <row r="5" spans="1:30" x14ac:dyDescent="0.3">
      <c r="A5" s="9" t="s">
        <v>111</v>
      </c>
      <c r="B5" s="10">
        <v>890000</v>
      </c>
      <c r="C5" s="10">
        <v>1042276</v>
      </c>
      <c r="D5" s="10">
        <v>1248800</v>
      </c>
      <c r="E5" s="10">
        <v>774682</v>
      </c>
      <c r="F5" s="10">
        <v>577000</v>
      </c>
      <c r="G5" s="10">
        <v>0</v>
      </c>
      <c r="H5" s="8">
        <f>+B5+C5+D5+E5+G5+F5</f>
        <v>4532758</v>
      </c>
      <c r="J5" s="8">
        <f>SUM(B5:G5)</f>
        <v>4532758</v>
      </c>
    </row>
    <row r="6" spans="1:30" x14ac:dyDescent="0.3">
      <c r="A6" s="9" t="s">
        <v>112</v>
      </c>
      <c r="B6" s="10">
        <v>25000</v>
      </c>
      <c r="C6" s="10">
        <v>19000</v>
      </c>
      <c r="D6" s="12">
        <v>19000</v>
      </c>
      <c r="E6" s="12">
        <v>5000</v>
      </c>
      <c r="F6" s="10">
        <v>10000</v>
      </c>
      <c r="G6" s="12"/>
      <c r="H6" s="8">
        <f>+B6+C6+D6+E6+G6+F6</f>
        <v>78000</v>
      </c>
      <c r="J6" s="8">
        <f>SUM(B6:G6)</f>
        <v>78000</v>
      </c>
    </row>
    <row r="7" spans="1:30" x14ac:dyDescent="0.3">
      <c r="A7" s="9" t="s">
        <v>113</v>
      </c>
      <c r="B7" s="13">
        <v>73200</v>
      </c>
      <c r="C7" s="13">
        <v>25000</v>
      </c>
      <c r="D7" s="12">
        <f>38000+9500</f>
        <v>47500</v>
      </c>
      <c r="E7" s="12">
        <v>14000</v>
      </c>
      <c r="F7" s="13">
        <v>0</v>
      </c>
      <c r="G7" s="12"/>
      <c r="H7" s="8">
        <f>+B7+C7+D7+E7+G7+F7</f>
        <v>159700</v>
      </c>
      <c r="I7" s="4" t="s">
        <v>15</v>
      </c>
      <c r="J7" s="8">
        <f>SUM(B7:G7)</f>
        <v>159700</v>
      </c>
    </row>
    <row r="8" spans="1:30" x14ac:dyDescent="0.3">
      <c r="A8" s="9" t="s">
        <v>291</v>
      </c>
      <c r="B8" s="15">
        <v>0</v>
      </c>
      <c r="C8" s="15">
        <v>0</v>
      </c>
      <c r="D8" s="15" t="s">
        <v>15</v>
      </c>
      <c r="E8" s="15">
        <v>0</v>
      </c>
      <c r="F8" s="15">
        <v>0</v>
      </c>
      <c r="G8" s="14">
        <v>0</v>
      </c>
      <c r="H8" s="8">
        <f>SUM(B8:G8)</f>
        <v>0</v>
      </c>
      <c r="I8" s="4" t="s">
        <v>15</v>
      </c>
      <c r="J8" s="8">
        <f>SUM(B8:G8)</f>
        <v>0</v>
      </c>
    </row>
    <row r="9" spans="1:30" x14ac:dyDescent="0.3">
      <c r="A9" s="9" t="s">
        <v>114</v>
      </c>
      <c r="B9" s="16">
        <f t="shared" ref="B9:H9" si="0">SUM(B5:B8)</f>
        <v>988200</v>
      </c>
      <c r="C9" s="16">
        <f t="shared" si="0"/>
        <v>1086276</v>
      </c>
      <c r="D9" s="16">
        <f t="shared" si="0"/>
        <v>1315300</v>
      </c>
      <c r="E9" s="16">
        <f t="shared" si="0"/>
        <v>793682</v>
      </c>
      <c r="F9" s="16">
        <f t="shared" si="0"/>
        <v>587000</v>
      </c>
      <c r="G9" s="17">
        <f t="shared" si="0"/>
        <v>0</v>
      </c>
      <c r="H9" s="19">
        <f t="shared" si="0"/>
        <v>4770458</v>
      </c>
      <c r="J9" s="19">
        <f>SUM(J5:J8)</f>
        <v>4770458</v>
      </c>
    </row>
    <row r="10" spans="1:30" x14ac:dyDescent="0.3">
      <c r="A10" s="9" t="s">
        <v>115</v>
      </c>
      <c r="B10" s="13"/>
      <c r="C10" s="13"/>
      <c r="D10" s="12"/>
      <c r="E10" s="12"/>
      <c r="F10" s="13"/>
      <c r="G10" s="12"/>
    </row>
    <row r="11" spans="1:30" x14ac:dyDescent="0.3">
      <c r="A11" s="9" t="s">
        <v>116</v>
      </c>
      <c r="B11" s="13">
        <v>14350</v>
      </c>
      <c r="C11" s="13">
        <v>15800</v>
      </c>
      <c r="D11" s="12">
        <v>18500</v>
      </c>
      <c r="E11" s="12">
        <v>11500</v>
      </c>
      <c r="F11" s="13">
        <f>587000*0.0145</f>
        <v>8511.5</v>
      </c>
      <c r="G11" s="12"/>
      <c r="H11" s="8">
        <f>+B11+C11+D11+E11+G11+F11</f>
        <v>68661.5</v>
      </c>
      <c r="J11" s="8">
        <f>SUM(B11:G11)</f>
        <v>68661.5</v>
      </c>
    </row>
    <row r="12" spans="1:30" x14ac:dyDescent="0.3">
      <c r="A12" s="9" t="s">
        <v>117</v>
      </c>
      <c r="B12" s="13">
        <v>197000</v>
      </c>
      <c r="C12" s="13">
        <v>216500</v>
      </c>
      <c r="D12" s="13">
        <v>261800</v>
      </c>
      <c r="E12" s="13">
        <v>154100</v>
      </c>
      <c r="F12" s="13">
        <f>587000*0.199</f>
        <v>116813</v>
      </c>
      <c r="G12" s="13"/>
      <c r="H12" s="8">
        <f>+B12+C12+D12+E12+G12+F12</f>
        <v>946213</v>
      </c>
      <c r="J12" s="8">
        <f>SUM(B12:G12)</f>
        <v>946213</v>
      </c>
    </row>
    <row r="13" spans="1:30" x14ac:dyDescent="0.3">
      <c r="A13" s="9" t="s">
        <v>118</v>
      </c>
      <c r="B13" s="15">
        <v>211000</v>
      </c>
      <c r="C13" s="15">
        <v>282000</v>
      </c>
      <c r="D13" s="15">
        <v>381000</v>
      </c>
      <c r="E13" s="14">
        <v>241800</v>
      </c>
      <c r="F13" s="15">
        <v>169500</v>
      </c>
      <c r="G13" s="14"/>
      <c r="H13" s="8">
        <f>+B13+C13+D13+E13+G13+F13</f>
        <v>1285300</v>
      </c>
      <c r="I13" s="25"/>
      <c r="J13" s="8">
        <f>SUM(B13:G13)</f>
        <v>1285300</v>
      </c>
    </row>
    <row r="14" spans="1:30" x14ac:dyDescent="0.3">
      <c r="A14" s="9" t="s">
        <v>119</v>
      </c>
      <c r="B14" s="16">
        <f t="shared" ref="B14:H14" si="1">SUM(B11:B13)</f>
        <v>422350</v>
      </c>
      <c r="C14" s="16">
        <f t="shared" si="1"/>
        <v>514300</v>
      </c>
      <c r="D14" s="20">
        <f t="shared" si="1"/>
        <v>661300</v>
      </c>
      <c r="E14" s="20">
        <f t="shared" si="1"/>
        <v>407400</v>
      </c>
      <c r="F14" s="16">
        <f>SUM(F11:F13)</f>
        <v>294824.5</v>
      </c>
      <c r="G14" s="20">
        <f t="shared" si="1"/>
        <v>0</v>
      </c>
      <c r="H14" s="19">
        <f t="shared" si="1"/>
        <v>2300174.5</v>
      </c>
      <c r="J14" s="19">
        <f>SUM(J11:J13)</f>
        <v>2300174.5</v>
      </c>
    </row>
    <row r="15" spans="1:30" s="21" customFormat="1" x14ac:dyDescent="0.3">
      <c r="A15" s="21" t="s">
        <v>135</v>
      </c>
      <c r="B15" s="22">
        <f t="shared" ref="B15:G15" si="2">+B9+B14</f>
        <v>1410550</v>
      </c>
      <c r="C15" s="22">
        <f t="shared" si="2"/>
        <v>1600576</v>
      </c>
      <c r="D15" s="22">
        <f t="shared" si="2"/>
        <v>1976600</v>
      </c>
      <c r="E15" s="22">
        <f t="shared" si="2"/>
        <v>1201082</v>
      </c>
      <c r="F15" s="22">
        <f>+F9+F14</f>
        <v>881824.5</v>
      </c>
      <c r="G15" s="22">
        <f t="shared" si="2"/>
        <v>0</v>
      </c>
      <c r="H15" s="22">
        <f>+H9+H14</f>
        <v>7070632.5</v>
      </c>
      <c r="I15" s="23"/>
      <c r="J15" s="22">
        <f>+J9+J14</f>
        <v>7070632.5</v>
      </c>
      <c r="K15" s="23"/>
      <c r="L15" s="30">
        <f>+J15+50000+25000</f>
        <v>7145632.5</v>
      </c>
      <c r="M15" s="23"/>
      <c r="N15" s="23"/>
      <c r="O15" s="23"/>
      <c r="P15" s="23"/>
      <c r="Q15" s="23"/>
      <c r="R15" s="23"/>
      <c r="S15" s="23"/>
      <c r="T15" s="23"/>
      <c r="U15" s="23"/>
      <c r="V15" s="23"/>
      <c r="W15" s="23"/>
      <c r="X15" s="23"/>
      <c r="Y15" s="23"/>
      <c r="Z15" s="23"/>
      <c r="AA15" s="23"/>
      <c r="AB15" s="23"/>
      <c r="AC15" s="23"/>
      <c r="AD15" s="23"/>
    </row>
    <row r="17" spans="1:30" x14ac:dyDescent="0.3">
      <c r="A17" s="6" t="s">
        <v>35</v>
      </c>
    </row>
    <row r="18" spans="1:30" x14ac:dyDescent="0.3">
      <c r="A18" s="9" t="s">
        <v>120</v>
      </c>
      <c r="B18" s="11">
        <v>195600</v>
      </c>
      <c r="C18" s="11">
        <v>140400</v>
      </c>
      <c r="D18" s="11">
        <v>110486</v>
      </c>
      <c r="E18" s="11">
        <f>83356-15000</f>
        <v>68356</v>
      </c>
      <c r="F18" s="11">
        <v>45000</v>
      </c>
      <c r="G18" s="11">
        <v>0</v>
      </c>
      <c r="H18" s="8">
        <f>SUM(B18:G18)</f>
        <v>559842</v>
      </c>
      <c r="J18" s="8">
        <f>SUM(B18:G18)</f>
        <v>559842</v>
      </c>
    </row>
    <row r="19" spans="1:30" x14ac:dyDescent="0.3">
      <c r="A19" s="9" t="s">
        <v>122</v>
      </c>
      <c r="B19" s="14">
        <v>2950</v>
      </c>
      <c r="C19" s="14">
        <v>2300</v>
      </c>
      <c r="D19" s="14">
        <v>1650</v>
      </c>
      <c r="E19" s="14">
        <v>1060</v>
      </c>
      <c r="F19" s="14">
        <v>653</v>
      </c>
      <c r="G19" s="14">
        <v>0</v>
      </c>
      <c r="H19" s="8">
        <f>SUM(B19:G19)</f>
        <v>8613</v>
      </c>
      <c r="J19" s="8">
        <f>SUM(B19:G19)</f>
        <v>8613</v>
      </c>
    </row>
    <row r="20" spans="1:30" x14ac:dyDescent="0.3">
      <c r="A20" s="9" t="s">
        <v>123</v>
      </c>
      <c r="B20" s="14">
        <v>39200</v>
      </c>
      <c r="C20" s="14">
        <v>31000</v>
      </c>
      <c r="D20" s="14">
        <v>22000</v>
      </c>
      <c r="E20" s="14">
        <v>14600</v>
      </c>
      <c r="F20" s="14">
        <v>9000</v>
      </c>
      <c r="G20" s="14">
        <v>0</v>
      </c>
      <c r="H20" s="8">
        <f>SUM(B20:G20)</f>
        <v>115800</v>
      </c>
      <c r="J20" s="8">
        <f>SUM(B20:G20)</f>
        <v>115800</v>
      </c>
    </row>
    <row r="21" spans="1:30" x14ac:dyDescent="0.3">
      <c r="A21" s="9" t="s">
        <v>124</v>
      </c>
      <c r="B21" s="14">
        <v>27000</v>
      </c>
      <c r="C21" s="14">
        <v>19350</v>
      </c>
      <c r="D21" s="14">
        <v>28250</v>
      </c>
      <c r="E21" s="14">
        <v>25000</v>
      </c>
      <c r="F21" s="14">
        <f>8059+403</f>
        <v>8462</v>
      </c>
      <c r="G21" s="14">
        <v>0</v>
      </c>
      <c r="H21" s="8">
        <f>SUM(B21:G21)</f>
        <v>108062</v>
      </c>
      <c r="J21" s="8">
        <f>SUM(B21:G21)</f>
        <v>108062</v>
      </c>
    </row>
    <row r="22" spans="1:30" s="9" customFormat="1" ht="12.6" customHeight="1" x14ac:dyDescent="0.3">
      <c r="A22" s="9" t="s">
        <v>125</v>
      </c>
      <c r="B22" s="15">
        <v>5000</v>
      </c>
      <c r="C22" s="15">
        <v>15000</v>
      </c>
      <c r="D22" s="15">
        <v>1000</v>
      </c>
      <c r="E22" s="15">
        <v>0</v>
      </c>
      <c r="F22" s="15">
        <v>5000</v>
      </c>
      <c r="G22" s="15">
        <v>0</v>
      </c>
      <c r="H22" s="24">
        <f>SUM(B22:G22)</f>
        <v>26000</v>
      </c>
      <c r="I22" s="9" t="s">
        <v>15</v>
      </c>
      <c r="J22" s="8">
        <f>SUM(B22:G22)</f>
        <v>26000</v>
      </c>
    </row>
    <row r="23" spans="1:30" s="21" customFormat="1" x14ac:dyDescent="0.3">
      <c r="A23" s="21" t="s">
        <v>142</v>
      </c>
      <c r="B23" s="22">
        <f t="shared" ref="B23:H23" si="3">SUM(B18:B22)</f>
        <v>269750</v>
      </c>
      <c r="C23" s="22">
        <f t="shared" si="3"/>
        <v>208050</v>
      </c>
      <c r="D23" s="22">
        <f t="shared" si="3"/>
        <v>163386</v>
      </c>
      <c r="E23" s="22">
        <f t="shared" si="3"/>
        <v>109016</v>
      </c>
      <c r="F23" s="22">
        <f>SUM(F18:F22)</f>
        <v>68115</v>
      </c>
      <c r="G23" s="22">
        <f t="shared" si="3"/>
        <v>0</v>
      </c>
      <c r="H23" s="22">
        <f t="shared" si="3"/>
        <v>818317</v>
      </c>
      <c r="I23" s="23"/>
      <c r="J23" s="22">
        <f>SUM(J18:J22)</f>
        <v>818317</v>
      </c>
      <c r="K23" s="23"/>
      <c r="L23" s="23"/>
      <c r="M23" s="23"/>
      <c r="N23" s="23"/>
      <c r="O23" s="23"/>
      <c r="P23" s="23"/>
      <c r="Q23" s="23"/>
      <c r="R23" s="23"/>
      <c r="S23" s="23"/>
      <c r="T23" s="23"/>
      <c r="U23" s="23"/>
      <c r="V23" s="23"/>
      <c r="W23" s="23"/>
      <c r="X23" s="23"/>
      <c r="Y23" s="23"/>
      <c r="Z23" s="23"/>
      <c r="AA23" s="23"/>
      <c r="AB23" s="23"/>
      <c r="AC23" s="23"/>
      <c r="AD23" s="23"/>
    </row>
    <row r="25" spans="1:30" x14ac:dyDescent="0.3">
      <c r="A25" s="6" t="s">
        <v>126</v>
      </c>
      <c r="E25" s="127" t="s">
        <v>15</v>
      </c>
      <c r="G25" s="3" t="s">
        <v>15</v>
      </c>
      <c r="H25" s="141" t="s">
        <v>15</v>
      </c>
    </row>
    <row r="26" spans="1:30" ht="15.75" customHeight="1" x14ac:dyDescent="0.3">
      <c r="A26" s="9" t="s">
        <v>1</v>
      </c>
      <c r="B26" s="10">
        <v>29000</v>
      </c>
      <c r="C26" s="10">
        <v>104100</v>
      </c>
      <c r="D26" s="10">
        <v>87500</v>
      </c>
      <c r="E26" s="10">
        <v>15000</v>
      </c>
      <c r="F26" s="10">
        <v>0</v>
      </c>
      <c r="G26" s="10">
        <v>0</v>
      </c>
      <c r="H26" s="8">
        <f>SUM(B26:G26)</f>
        <v>235600</v>
      </c>
      <c r="J26" s="8">
        <f>SUM(B26:G26)</f>
        <v>235600</v>
      </c>
    </row>
    <row r="27" spans="1:30" x14ac:dyDescent="0.3">
      <c r="A27" s="9" t="s">
        <v>122</v>
      </c>
      <c r="B27" s="13">
        <v>425</v>
      </c>
      <c r="C27" s="13">
        <v>1510</v>
      </c>
      <c r="D27" s="13">
        <v>1350</v>
      </c>
      <c r="E27" s="13">
        <v>0</v>
      </c>
      <c r="F27" s="13">
        <f>F26*0.0145</f>
        <v>0</v>
      </c>
      <c r="G27" s="13"/>
      <c r="H27" s="8">
        <f>SUM(B27:G27)</f>
        <v>3285</v>
      </c>
      <c r="J27" s="8">
        <f>SUM(B27:G27)</f>
        <v>3285</v>
      </c>
    </row>
    <row r="28" spans="1:30" x14ac:dyDescent="0.3">
      <c r="A28" s="9" t="s">
        <v>123</v>
      </c>
      <c r="B28" s="13">
        <v>5800</v>
      </c>
      <c r="C28" s="13">
        <v>20750</v>
      </c>
      <c r="D28" s="13">
        <v>17400</v>
      </c>
      <c r="E28" s="13">
        <v>0</v>
      </c>
      <c r="F28" s="13">
        <v>0</v>
      </c>
      <c r="G28" s="13"/>
      <c r="H28" s="8">
        <f>SUM(B28:G28)</f>
        <v>43950</v>
      </c>
      <c r="J28" s="8">
        <f>SUM(B28:G28)</f>
        <v>43950</v>
      </c>
    </row>
    <row r="29" spans="1:30" x14ac:dyDescent="0.3">
      <c r="A29" s="9" t="s">
        <v>124</v>
      </c>
      <c r="B29" s="15">
        <v>10100</v>
      </c>
      <c r="C29" s="15">
        <v>22200</v>
      </c>
      <c r="D29" s="15">
        <v>16218</v>
      </c>
      <c r="E29" s="15">
        <v>0</v>
      </c>
      <c r="F29" s="15">
        <v>0</v>
      </c>
      <c r="G29" s="15"/>
      <c r="H29" s="24">
        <f>SUM(B29:G29)</f>
        <v>48518</v>
      </c>
      <c r="J29" s="8">
        <f>SUM(B29:G29)</f>
        <v>48518</v>
      </c>
    </row>
    <row r="30" spans="1:30" s="21" customFormat="1" x14ac:dyDescent="0.3">
      <c r="A30" s="21" t="s">
        <v>143</v>
      </c>
      <c r="B30" s="22">
        <f>SUM(B26:B29)</f>
        <v>45325</v>
      </c>
      <c r="C30" s="22">
        <f>SUM(C26:C29)</f>
        <v>148560</v>
      </c>
      <c r="D30" s="22">
        <f>SUM(D26:D29)</f>
        <v>122468</v>
      </c>
      <c r="E30" s="22">
        <f>SUM(E25:E29)</f>
        <v>15000</v>
      </c>
      <c r="F30" s="22">
        <f>SUM(F26:F29)</f>
        <v>0</v>
      </c>
      <c r="G30" s="22">
        <f>SUM(G26:G29)</f>
        <v>0</v>
      </c>
      <c r="H30" s="22">
        <f>SUM(H25:H29)</f>
        <v>331353</v>
      </c>
      <c r="I30" s="23"/>
      <c r="J30" s="22">
        <f>SUM(J26:J29)</f>
        <v>331353</v>
      </c>
      <c r="K30" s="23"/>
      <c r="L30" s="23"/>
      <c r="M30" s="23"/>
      <c r="N30" s="23"/>
      <c r="O30" s="23"/>
      <c r="P30" s="23"/>
      <c r="Q30" s="23"/>
      <c r="R30" s="23"/>
      <c r="S30" s="23"/>
      <c r="T30" s="23"/>
      <c r="U30" s="23"/>
      <c r="V30" s="23"/>
      <c r="W30" s="23"/>
      <c r="X30" s="23"/>
      <c r="Y30" s="23"/>
      <c r="Z30" s="23"/>
      <c r="AA30" s="23"/>
      <c r="AB30" s="23"/>
      <c r="AC30" s="23"/>
      <c r="AD30" s="23"/>
    </row>
    <row r="32" spans="1:30" ht="16.5" customHeight="1" x14ac:dyDescent="0.3">
      <c r="A32" s="6" t="s">
        <v>218</v>
      </c>
    </row>
    <row r="33" spans="1:30" x14ac:dyDescent="0.3">
      <c r="A33" s="7" t="s">
        <v>1</v>
      </c>
      <c r="B33" s="25">
        <f>$J33*0.12</f>
        <v>27840</v>
      </c>
      <c r="C33" s="25">
        <f>$J33*0.12</f>
        <v>27840</v>
      </c>
      <c r="D33" s="25">
        <f>$J33*0.12</f>
        <v>27840</v>
      </c>
      <c r="E33" s="25">
        <f>$J33*0.12</f>
        <v>27840</v>
      </c>
      <c r="F33" s="25">
        <f>$J33*0.12</f>
        <v>27840</v>
      </c>
      <c r="G33" s="25">
        <f t="shared" ref="G33:G40" si="4">0.4*J33</f>
        <v>92800</v>
      </c>
      <c r="H33" s="8">
        <f t="shared" ref="H33:H40" si="5">SUM(B33:G33)</f>
        <v>232000</v>
      </c>
      <c r="I33" s="4" t="s">
        <v>307</v>
      </c>
      <c r="J33" s="8">
        <v>232000</v>
      </c>
    </row>
    <row r="34" spans="1:30" ht="18" customHeight="1" x14ac:dyDescent="0.3">
      <c r="A34" s="9" t="s">
        <v>121</v>
      </c>
      <c r="B34" s="25">
        <f t="shared" ref="B34:F40" si="6">$J34*0.12</f>
        <v>1200</v>
      </c>
      <c r="C34" s="25">
        <f t="shared" si="6"/>
        <v>1200</v>
      </c>
      <c r="D34" s="25">
        <f t="shared" si="6"/>
        <v>1200</v>
      </c>
      <c r="E34" s="25">
        <f t="shared" si="6"/>
        <v>1200</v>
      </c>
      <c r="F34" s="25">
        <f t="shared" si="6"/>
        <v>1200</v>
      </c>
      <c r="G34" s="25">
        <f t="shared" si="4"/>
        <v>4000</v>
      </c>
      <c r="H34" s="8">
        <f t="shared" si="5"/>
        <v>10000</v>
      </c>
      <c r="I34" s="4" t="s">
        <v>15</v>
      </c>
      <c r="J34" s="8">
        <v>10000</v>
      </c>
    </row>
    <row r="35" spans="1:30" x14ac:dyDescent="0.3">
      <c r="A35" s="7" t="s">
        <v>122</v>
      </c>
      <c r="B35" s="25">
        <f t="shared" si="6"/>
        <v>408</v>
      </c>
      <c r="C35" s="25">
        <f t="shared" si="6"/>
        <v>408</v>
      </c>
      <c r="D35" s="25">
        <f t="shared" si="6"/>
        <v>408</v>
      </c>
      <c r="E35" s="25">
        <f t="shared" si="6"/>
        <v>408</v>
      </c>
      <c r="F35" s="25">
        <f t="shared" si="6"/>
        <v>408</v>
      </c>
      <c r="G35" s="25">
        <f t="shared" si="4"/>
        <v>1360</v>
      </c>
      <c r="H35" s="8">
        <f>SUM(B35:G35)</f>
        <v>3400</v>
      </c>
      <c r="J35" s="8">
        <v>3400</v>
      </c>
    </row>
    <row r="36" spans="1:30" x14ac:dyDescent="0.3">
      <c r="A36" s="7" t="s">
        <v>123</v>
      </c>
      <c r="B36" s="25">
        <f t="shared" si="6"/>
        <v>5520</v>
      </c>
      <c r="C36" s="25">
        <f t="shared" si="6"/>
        <v>5520</v>
      </c>
      <c r="D36" s="25">
        <f t="shared" si="6"/>
        <v>5520</v>
      </c>
      <c r="E36" s="25">
        <f t="shared" si="6"/>
        <v>5520</v>
      </c>
      <c r="F36" s="25">
        <f t="shared" si="6"/>
        <v>5520</v>
      </c>
      <c r="G36" s="25">
        <f t="shared" si="4"/>
        <v>18400</v>
      </c>
      <c r="H36" s="8">
        <f>SUM(B36:G36)</f>
        <v>46000</v>
      </c>
      <c r="J36" s="8">
        <v>46000</v>
      </c>
    </row>
    <row r="37" spans="1:30" x14ac:dyDescent="0.3">
      <c r="A37" s="9" t="s">
        <v>124</v>
      </c>
      <c r="B37" s="25">
        <f t="shared" si="6"/>
        <v>3900</v>
      </c>
      <c r="C37" s="25">
        <f t="shared" si="6"/>
        <v>3900</v>
      </c>
      <c r="D37" s="25">
        <f t="shared" si="6"/>
        <v>3900</v>
      </c>
      <c r="E37" s="25">
        <f t="shared" si="6"/>
        <v>3900</v>
      </c>
      <c r="F37" s="25">
        <f t="shared" si="6"/>
        <v>3900</v>
      </c>
      <c r="G37" s="25">
        <f t="shared" si="4"/>
        <v>13000</v>
      </c>
      <c r="H37" s="8">
        <f t="shared" si="5"/>
        <v>32500</v>
      </c>
      <c r="J37" s="8">
        <v>32500</v>
      </c>
    </row>
    <row r="38" spans="1:30" x14ac:dyDescent="0.3">
      <c r="A38" s="9" t="s">
        <v>414</v>
      </c>
      <c r="B38" s="25">
        <f t="shared" si="6"/>
        <v>0</v>
      </c>
      <c r="C38" s="25">
        <f t="shared" si="6"/>
        <v>0</v>
      </c>
      <c r="D38" s="25">
        <f t="shared" si="6"/>
        <v>0</v>
      </c>
      <c r="E38" s="25">
        <f t="shared" si="6"/>
        <v>0</v>
      </c>
      <c r="F38" s="25">
        <f t="shared" si="6"/>
        <v>0</v>
      </c>
      <c r="G38" s="25">
        <f>0.4*J38</f>
        <v>0</v>
      </c>
      <c r="H38" s="8">
        <f t="shared" si="5"/>
        <v>0</v>
      </c>
      <c r="J38" s="8">
        <v>0</v>
      </c>
    </row>
    <row r="39" spans="1:30" x14ac:dyDescent="0.3">
      <c r="A39" s="9" t="s">
        <v>346</v>
      </c>
      <c r="B39" s="25">
        <f t="shared" si="6"/>
        <v>360</v>
      </c>
      <c r="C39" s="25">
        <f t="shared" si="6"/>
        <v>360</v>
      </c>
      <c r="D39" s="25">
        <f t="shared" si="6"/>
        <v>360</v>
      </c>
      <c r="E39" s="25">
        <f t="shared" si="6"/>
        <v>360</v>
      </c>
      <c r="F39" s="25">
        <f t="shared" si="6"/>
        <v>360</v>
      </c>
      <c r="G39" s="25">
        <f t="shared" si="4"/>
        <v>1200</v>
      </c>
      <c r="H39" s="8">
        <f t="shared" si="5"/>
        <v>3000</v>
      </c>
      <c r="J39" s="8">
        <v>3000</v>
      </c>
    </row>
    <row r="40" spans="1:30" x14ac:dyDescent="0.3">
      <c r="A40" s="9" t="s">
        <v>6</v>
      </c>
      <c r="B40" s="25">
        <f t="shared" si="6"/>
        <v>4800</v>
      </c>
      <c r="C40" s="25">
        <f t="shared" si="6"/>
        <v>4800</v>
      </c>
      <c r="D40" s="25">
        <f t="shared" si="6"/>
        <v>4800</v>
      </c>
      <c r="E40" s="25">
        <f t="shared" si="6"/>
        <v>4800</v>
      </c>
      <c r="F40" s="25">
        <f t="shared" si="6"/>
        <v>4800</v>
      </c>
      <c r="G40" s="25">
        <f t="shared" si="4"/>
        <v>16000</v>
      </c>
      <c r="H40" s="24">
        <f t="shared" si="5"/>
        <v>40000</v>
      </c>
      <c r="J40" s="24">
        <v>40000</v>
      </c>
    </row>
    <row r="41" spans="1:30" s="21" customFormat="1" x14ac:dyDescent="0.3">
      <c r="A41" s="21" t="s">
        <v>158</v>
      </c>
      <c r="B41" s="22">
        <f t="shared" ref="B41:H41" si="7">SUM(B33:B40)</f>
        <v>44028</v>
      </c>
      <c r="C41" s="22">
        <f t="shared" si="7"/>
        <v>44028</v>
      </c>
      <c r="D41" s="22">
        <f t="shared" si="7"/>
        <v>44028</v>
      </c>
      <c r="E41" s="22">
        <f t="shared" si="7"/>
        <v>44028</v>
      </c>
      <c r="F41" s="22">
        <f t="shared" si="7"/>
        <v>44028</v>
      </c>
      <c r="G41" s="22">
        <f t="shared" si="7"/>
        <v>146760</v>
      </c>
      <c r="H41" s="22">
        <f t="shared" si="7"/>
        <v>366900</v>
      </c>
      <c r="I41" s="23"/>
      <c r="J41" s="22">
        <f>SUM(J33:J40)</f>
        <v>366900</v>
      </c>
      <c r="K41" s="23"/>
      <c r="L41" s="23"/>
      <c r="M41" s="23"/>
      <c r="N41" s="23"/>
      <c r="O41" s="23"/>
      <c r="P41" s="23"/>
      <c r="Q41" s="23"/>
      <c r="R41" s="23"/>
      <c r="S41" s="23"/>
      <c r="T41" s="23"/>
      <c r="U41" s="23"/>
      <c r="V41" s="23"/>
      <c r="W41" s="23"/>
      <c r="X41" s="23"/>
      <c r="Y41" s="23"/>
      <c r="Z41" s="23"/>
      <c r="AA41" s="23"/>
      <c r="AB41" s="23"/>
      <c r="AC41" s="23"/>
      <c r="AD41" s="23"/>
    </row>
    <row r="42" spans="1:30" ht="12.75" customHeight="1" x14ac:dyDescent="0.3"/>
    <row r="43" spans="1:30" x14ac:dyDescent="0.3">
      <c r="A43" s="6" t="s">
        <v>20</v>
      </c>
    </row>
    <row r="44" spans="1:30" x14ac:dyDescent="0.3">
      <c r="A44" s="9" t="s">
        <v>1</v>
      </c>
      <c r="B44" s="10">
        <v>193500</v>
      </c>
      <c r="C44" s="10">
        <v>147250</v>
      </c>
      <c r="D44" s="10">
        <v>237200</v>
      </c>
      <c r="E44" s="10">
        <v>153319</v>
      </c>
      <c r="F44" s="10">
        <v>152000</v>
      </c>
      <c r="G44" s="10">
        <v>0</v>
      </c>
      <c r="H44" s="8">
        <f>SUM(B44:G44)</f>
        <v>883269</v>
      </c>
      <c r="I44" s="4" t="s">
        <v>15</v>
      </c>
      <c r="J44" s="8">
        <f>SUM(B44:G44)</f>
        <v>883269</v>
      </c>
    </row>
    <row r="45" spans="1:30" ht="16.5" customHeight="1" x14ac:dyDescent="0.3">
      <c r="A45" s="9" t="s">
        <v>271</v>
      </c>
      <c r="B45" s="10">
        <v>18000</v>
      </c>
      <c r="C45" s="10">
        <v>20000</v>
      </c>
      <c r="D45" s="10">
        <v>23000</v>
      </c>
      <c r="E45" s="10">
        <v>13000</v>
      </c>
      <c r="F45" s="10">
        <v>7500</v>
      </c>
      <c r="G45" s="10">
        <v>0</v>
      </c>
      <c r="H45" s="8">
        <f>SUM(B45:G45)</f>
        <v>81500</v>
      </c>
      <c r="I45" s="4" t="s">
        <v>15</v>
      </c>
      <c r="J45" s="8">
        <f>SUM(B45:G45)</f>
        <v>81500</v>
      </c>
    </row>
    <row r="46" spans="1:30" x14ac:dyDescent="0.3">
      <c r="A46" s="9" t="s">
        <v>122</v>
      </c>
      <c r="B46" s="10">
        <v>3000</v>
      </c>
      <c r="C46" s="10">
        <v>2300</v>
      </c>
      <c r="D46" s="10">
        <v>3200</v>
      </c>
      <c r="E46" s="10">
        <v>2000</v>
      </c>
      <c r="F46" s="10">
        <v>2250</v>
      </c>
      <c r="G46" s="10">
        <f>0.0145*G44</f>
        <v>0</v>
      </c>
      <c r="H46" s="8">
        <f>SUM(B46:G46)</f>
        <v>12750</v>
      </c>
      <c r="J46" s="8">
        <f>SUM(B46:G46)</f>
        <v>12750</v>
      </c>
    </row>
    <row r="47" spans="1:30" x14ac:dyDescent="0.3">
      <c r="A47" s="9" t="s">
        <v>123</v>
      </c>
      <c r="B47" s="11">
        <v>38500</v>
      </c>
      <c r="C47" s="11">
        <v>29300</v>
      </c>
      <c r="D47" s="11">
        <v>47200</v>
      </c>
      <c r="E47" s="11">
        <v>27500</v>
      </c>
      <c r="F47" s="11">
        <v>30500</v>
      </c>
      <c r="G47" s="11">
        <f>0.1645*G44</f>
        <v>0</v>
      </c>
      <c r="H47" s="8">
        <f>SUM(B47:G47)</f>
        <v>173000</v>
      </c>
      <c r="J47" s="8">
        <f>SUM(B47:G47)</f>
        <v>173000</v>
      </c>
    </row>
    <row r="48" spans="1:30" x14ac:dyDescent="0.3">
      <c r="A48" s="179" t="s">
        <v>124</v>
      </c>
      <c r="B48" s="15">
        <v>40400</v>
      </c>
      <c r="C48" s="15">
        <v>32300</v>
      </c>
      <c r="D48" s="15">
        <v>48400</v>
      </c>
      <c r="E48" s="15">
        <v>30700</v>
      </c>
      <c r="F48" s="15">
        <v>32250</v>
      </c>
      <c r="G48" s="15"/>
      <c r="H48" s="24">
        <f>SUM(B48:G48)</f>
        <v>184050</v>
      </c>
      <c r="I48" s="180"/>
      <c r="J48" s="24">
        <f>SUM(B48:G48)</f>
        <v>184050</v>
      </c>
    </row>
    <row r="49" spans="1:30" s="21" customFormat="1" x14ac:dyDescent="0.3">
      <c r="A49" s="21" t="s">
        <v>144</v>
      </c>
      <c r="B49" s="22">
        <f t="shared" ref="B49:H49" si="8">SUM(B44:B48)</f>
        <v>293400</v>
      </c>
      <c r="C49" s="22">
        <f t="shared" si="8"/>
        <v>231150</v>
      </c>
      <c r="D49" s="22">
        <f t="shared" si="8"/>
        <v>359000</v>
      </c>
      <c r="E49" s="22">
        <f t="shared" si="8"/>
        <v>226519</v>
      </c>
      <c r="F49" s="22">
        <f>SUM(F44:F48)</f>
        <v>224500</v>
      </c>
      <c r="G49" s="22">
        <f t="shared" si="8"/>
        <v>0</v>
      </c>
      <c r="H49" s="22">
        <f t="shared" si="8"/>
        <v>1334569</v>
      </c>
      <c r="I49" s="23"/>
      <c r="J49" s="22">
        <f>SUM(J44:J48)</f>
        <v>1334569</v>
      </c>
      <c r="K49" s="23"/>
      <c r="L49" s="23"/>
      <c r="M49" s="23"/>
      <c r="N49" s="23"/>
      <c r="O49" s="23"/>
      <c r="P49" s="23"/>
      <c r="Q49" s="23"/>
      <c r="R49" s="23"/>
      <c r="S49" s="23"/>
      <c r="T49" s="23"/>
      <c r="U49" s="23"/>
      <c r="V49" s="23"/>
      <c r="W49" s="23"/>
      <c r="X49" s="23"/>
      <c r="Y49" s="23"/>
      <c r="Z49" s="23"/>
      <c r="AA49" s="23"/>
      <c r="AB49" s="23"/>
      <c r="AC49" s="23"/>
      <c r="AD49" s="23"/>
    </row>
    <row r="50" spans="1:30" ht="13.5" customHeight="1" x14ac:dyDescent="0.3"/>
    <row r="51" spans="1:30" x14ac:dyDescent="0.3">
      <c r="A51" s="6" t="s">
        <v>131</v>
      </c>
    </row>
    <row r="52" spans="1:30" x14ac:dyDescent="0.3">
      <c r="A52" s="7" t="s">
        <v>1</v>
      </c>
      <c r="B52" s="25">
        <f>$J52*0.12</f>
        <v>24216</v>
      </c>
      <c r="C52" s="25">
        <f t="shared" ref="C52:F60" si="9">$J52*0.12</f>
        <v>24216</v>
      </c>
      <c r="D52" s="25">
        <f t="shared" si="9"/>
        <v>24216</v>
      </c>
      <c r="E52" s="25">
        <f t="shared" si="9"/>
        <v>24216</v>
      </c>
      <c r="F52" s="25">
        <f t="shared" si="9"/>
        <v>24216</v>
      </c>
      <c r="G52" s="25">
        <f>0.4*J52</f>
        <v>80720</v>
      </c>
      <c r="H52" s="8">
        <f>SUM(B52:G52)</f>
        <v>201800</v>
      </c>
      <c r="I52" s="4" t="s">
        <v>307</v>
      </c>
      <c r="J52" s="8">
        <v>201800</v>
      </c>
    </row>
    <row r="53" spans="1:30" ht="19.5" customHeight="1" x14ac:dyDescent="0.3">
      <c r="A53" s="9" t="s">
        <v>213</v>
      </c>
      <c r="B53" s="25">
        <f t="shared" ref="B53:B60" si="10">$J53*0.12</f>
        <v>1200</v>
      </c>
      <c r="C53" s="25">
        <f t="shared" si="9"/>
        <v>1200</v>
      </c>
      <c r="D53" s="25">
        <f t="shared" si="9"/>
        <v>1200</v>
      </c>
      <c r="E53" s="25">
        <f t="shared" si="9"/>
        <v>1200</v>
      </c>
      <c r="F53" s="25">
        <f t="shared" si="9"/>
        <v>1200</v>
      </c>
      <c r="G53" s="25">
        <f t="shared" ref="G53:G60" si="11">0.4*J53</f>
        <v>4000</v>
      </c>
      <c r="H53" s="8">
        <f>SUM(B53:G53)</f>
        <v>10000</v>
      </c>
      <c r="I53" s="4" t="s">
        <v>15</v>
      </c>
      <c r="J53" s="8">
        <v>10000</v>
      </c>
    </row>
    <row r="54" spans="1:30" ht="18.75" customHeight="1" x14ac:dyDescent="0.3">
      <c r="A54" s="7" t="s">
        <v>122</v>
      </c>
      <c r="B54" s="25">
        <f t="shared" si="10"/>
        <v>354</v>
      </c>
      <c r="C54" s="25">
        <f t="shared" si="9"/>
        <v>354</v>
      </c>
      <c r="D54" s="25">
        <f t="shared" si="9"/>
        <v>354</v>
      </c>
      <c r="E54" s="25">
        <f t="shared" si="9"/>
        <v>354</v>
      </c>
      <c r="F54" s="25">
        <f t="shared" si="9"/>
        <v>354</v>
      </c>
      <c r="G54" s="25">
        <f t="shared" si="11"/>
        <v>1180</v>
      </c>
      <c r="H54" s="8">
        <f t="shared" ref="H54:H60" si="12">SUM(B54:G54)</f>
        <v>2950</v>
      </c>
      <c r="I54" s="114" t="s">
        <v>15</v>
      </c>
      <c r="J54" s="8">
        <v>2950</v>
      </c>
    </row>
    <row r="55" spans="1:30" x14ac:dyDescent="0.3">
      <c r="A55" s="7" t="s">
        <v>123</v>
      </c>
      <c r="B55" s="25">
        <f t="shared" si="10"/>
        <v>4818</v>
      </c>
      <c r="C55" s="25">
        <f t="shared" si="9"/>
        <v>4818</v>
      </c>
      <c r="D55" s="25">
        <f t="shared" si="9"/>
        <v>4818</v>
      </c>
      <c r="E55" s="25">
        <f t="shared" si="9"/>
        <v>4818</v>
      </c>
      <c r="F55" s="25">
        <f t="shared" si="9"/>
        <v>4818</v>
      </c>
      <c r="G55" s="25">
        <f t="shared" si="11"/>
        <v>16060</v>
      </c>
      <c r="H55" s="8">
        <f t="shared" si="12"/>
        <v>40150</v>
      </c>
      <c r="J55" s="8">
        <v>40150</v>
      </c>
    </row>
    <row r="56" spans="1:30" x14ac:dyDescent="0.3">
      <c r="A56" s="7" t="s">
        <v>124</v>
      </c>
      <c r="B56" s="25">
        <f t="shared" si="10"/>
        <v>3336</v>
      </c>
      <c r="C56" s="25">
        <f t="shared" si="9"/>
        <v>3336</v>
      </c>
      <c r="D56" s="25">
        <f t="shared" si="9"/>
        <v>3336</v>
      </c>
      <c r="E56" s="25">
        <f t="shared" si="9"/>
        <v>3336</v>
      </c>
      <c r="F56" s="25">
        <f t="shared" si="9"/>
        <v>3336</v>
      </c>
      <c r="G56" s="25">
        <f t="shared" si="11"/>
        <v>11120</v>
      </c>
      <c r="H56" s="8">
        <f t="shared" si="12"/>
        <v>27800</v>
      </c>
      <c r="J56" s="8">
        <v>27800</v>
      </c>
    </row>
    <row r="57" spans="1:30" x14ac:dyDescent="0.3">
      <c r="A57" s="7" t="s">
        <v>57</v>
      </c>
      <c r="B57" s="25">
        <f t="shared" si="10"/>
        <v>180</v>
      </c>
      <c r="C57" s="25">
        <f t="shared" si="9"/>
        <v>180</v>
      </c>
      <c r="D57" s="25">
        <f t="shared" si="9"/>
        <v>180</v>
      </c>
      <c r="E57" s="25">
        <f t="shared" si="9"/>
        <v>180</v>
      </c>
      <c r="F57" s="25">
        <f t="shared" si="9"/>
        <v>180</v>
      </c>
      <c r="G57" s="25">
        <f t="shared" si="11"/>
        <v>600</v>
      </c>
      <c r="H57" s="8">
        <f t="shared" si="12"/>
        <v>1500</v>
      </c>
      <c r="J57" s="8">
        <v>1500</v>
      </c>
    </row>
    <row r="58" spans="1:30" x14ac:dyDescent="0.3">
      <c r="A58" s="9" t="s">
        <v>132</v>
      </c>
      <c r="B58" s="25">
        <f t="shared" si="10"/>
        <v>36</v>
      </c>
      <c r="C58" s="25">
        <f t="shared" si="9"/>
        <v>36</v>
      </c>
      <c r="D58" s="25">
        <f t="shared" si="9"/>
        <v>36</v>
      </c>
      <c r="E58" s="25">
        <f t="shared" si="9"/>
        <v>36</v>
      </c>
      <c r="F58" s="25">
        <f t="shared" si="9"/>
        <v>36</v>
      </c>
      <c r="G58" s="25">
        <f t="shared" si="11"/>
        <v>120</v>
      </c>
      <c r="H58" s="8">
        <f t="shared" si="12"/>
        <v>300</v>
      </c>
      <c r="J58" s="8">
        <v>300</v>
      </c>
    </row>
    <row r="59" spans="1:30" x14ac:dyDescent="0.3">
      <c r="A59" s="7" t="s">
        <v>7</v>
      </c>
      <c r="B59" s="25">
        <f t="shared" si="10"/>
        <v>1440</v>
      </c>
      <c r="C59" s="25">
        <f t="shared" si="9"/>
        <v>1440</v>
      </c>
      <c r="D59" s="25">
        <f t="shared" si="9"/>
        <v>1440</v>
      </c>
      <c r="E59" s="25">
        <f t="shared" si="9"/>
        <v>1440</v>
      </c>
      <c r="F59" s="25">
        <f t="shared" si="9"/>
        <v>1440</v>
      </c>
      <c r="G59" s="25">
        <f t="shared" si="11"/>
        <v>4800</v>
      </c>
      <c r="H59" s="8">
        <f t="shared" si="12"/>
        <v>12000</v>
      </c>
      <c r="J59" s="8">
        <v>12000</v>
      </c>
    </row>
    <row r="60" spans="1:30" x14ac:dyDescent="0.3">
      <c r="A60" s="7" t="s">
        <v>133</v>
      </c>
      <c r="B60" s="129">
        <f t="shared" si="10"/>
        <v>2400</v>
      </c>
      <c r="C60" s="129">
        <f t="shared" si="9"/>
        <v>2400</v>
      </c>
      <c r="D60" s="129">
        <f t="shared" si="9"/>
        <v>2400</v>
      </c>
      <c r="E60" s="129">
        <f t="shared" si="9"/>
        <v>2400</v>
      </c>
      <c r="F60" s="129">
        <f t="shared" si="9"/>
        <v>2400</v>
      </c>
      <c r="G60" s="129">
        <f t="shared" si="11"/>
        <v>8000</v>
      </c>
      <c r="H60" s="24">
        <f t="shared" si="12"/>
        <v>20000</v>
      </c>
      <c r="J60" s="24">
        <v>20000</v>
      </c>
    </row>
    <row r="61" spans="1:30" s="27" customFormat="1" ht="22.5" customHeight="1" x14ac:dyDescent="0.3">
      <c r="A61" s="32" t="s">
        <v>136</v>
      </c>
      <c r="B61" s="33">
        <f t="shared" ref="B61:H61" si="13">SUM(B52:B60)</f>
        <v>37980</v>
      </c>
      <c r="C61" s="33">
        <f t="shared" si="13"/>
        <v>37980</v>
      </c>
      <c r="D61" s="33">
        <f t="shared" si="13"/>
        <v>37980</v>
      </c>
      <c r="E61" s="33">
        <f t="shared" si="13"/>
        <v>37980</v>
      </c>
      <c r="F61" s="33">
        <f t="shared" si="13"/>
        <v>37980</v>
      </c>
      <c r="G61" s="33">
        <f t="shared" si="13"/>
        <v>126600</v>
      </c>
      <c r="H61" s="33">
        <f t="shared" si="13"/>
        <v>316500</v>
      </c>
      <c r="I61" s="4"/>
      <c r="J61" s="33">
        <f>SUM(J52:J60)</f>
        <v>316500</v>
      </c>
      <c r="K61" s="4"/>
      <c r="L61" s="4"/>
      <c r="M61" s="4"/>
      <c r="N61" s="4"/>
      <c r="O61" s="4"/>
      <c r="P61" s="4"/>
      <c r="Q61" s="4"/>
      <c r="R61" s="4"/>
      <c r="S61" s="4"/>
      <c r="T61" s="4"/>
      <c r="U61" s="4"/>
      <c r="V61" s="4"/>
      <c r="W61" s="4"/>
      <c r="X61" s="4"/>
      <c r="Y61" s="4"/>
      <c r="Z61" s="4"/>
      <c r="AA61" s="4"/>
      <c r="AB61" s="4"/>
      <c r="AC61" s="4"/>
      <c r="AD61" s="4"/>
    </row>
    <row r="62" spans="1:30" x14ac:dyDescent="0.3">
      <c r="B62" s="140"/>
      <c r="C62" s="140"/>
      <c r="D62" s="140"/>
      <c r="E62" s="140"/>
      <c r="F62" s="140"/>
      <c r="G62" s="140"/>
      <c r="H62" s="138"/>
      <c r="I62" s="134"/>
    </row>
    <row r="63" spans="1:30" x14ac:dyDescent="0.3">
      <c r="A63" s="6" t="s">
        <v>134</v>
      </c>
    </row>
    <row r="64" spans="1:30" x14ac:dyDescent="0.3">
      <c r="A64" s="9" t="s">
        <v>1</v>
      </c>
      <c r="B64" s="25">
        <f>$J64*0.12</f>
        <v>21000</v>
      </c>
      <c r="C64" s="25">
        <f t="shared" ref="C64:F67" si="14">$J64*0.12</f>
        <v>21000</v>
      </c>
      <c r="D64" s="25">
        <f t="shared" si="14"/>
        <v>21000</v>
      </c>
      <c r="E64" s="25">
        <f t="shared" si="14"/>
        <v>21000</v>
      </c>
      <c r="F64" s="25">
        <f t="shared" si="14"/>
        <v>21000</v>
      </c>
      <c r="G64" s="25">
        <f>0.4*J64</f>
        <v>70000</v>
      </c>
      <c r="H64" s="8">
        <f>SUM(B64:G64)</f>
        <v>175000</v>
      </c>
      <c r="I64" s="4" t="s">
        <v>307</v>
      </c>
      <c r="J64" s="8">
        <v>175000</v>
      </c>
      <c r="L64" s="4" t="s">
        <v>307</v>
      </c>
    </row>
    <row r="65" spans="1:30" x14ac:dyDescent="0.3">
      <c r="A65" s="9" t="s">
        <v>122</v>
      </c>
      <c r="B65" s="25">
        <f>$J65*0.12</f>
        <v>304.5</v>
      </c>
      <c r="C65" s="25">
        <f t="shared" si="14"/>
        <v>304.5</v>
      </c>
      <c r="D65" s="25">
        <f t="shared" si="14"/>
        <v>304.5</v>
      </c>
      <c r="E65" s="25">
        <f t="shared" si="14"/>
        <v>304.5</v>
      </c>
      <c r="F65" s="25">
        <f t="shared" si="14"/>
        <v>304.5</v>
      </c>
      <c r="G65" s="25">
        <f>0.4*J65</f>
        <v>1015</v>
      </c>
      <c r="H65" s="8">
        <f>SUM(B65:G65)</f>
        <v>2537.5</v>
      </c>
      <c r="J65" s="8">
        <f>J64*0.0145</f>
        <v>2537.5</v>
      </c>
    </row>
    <row r="66" spans="1:30" x14ac:dyDescent="0.3">
      <c r="A66" s="9" t="s">
        <v>123</v>
      </c>
      <c r="B66" s="25">
        <f>$J66*0.12</f>
        <v>4189.5</v>
      </c>
      <c r="C66" s="25">
        <f t="shared" si="14"/>
        <v>4189.5</v>
      </c>
      <c r="D66" s="25">
        <f t="shared" si="14"/>
        <v>4189.5</v>
      </c>
      <c r="E66" s="25">
        <f t="shared" si="14"/>
        <v>4189.5</v>
      </c>
      <c r="F66" s="25">
        <f t="shared" si="14"/>
        <v>4189.5</v>
      </c>
      <c r="G66" s="25">
        <f>0.4*J66</f>
        <v>13965</v>
      </c>
      <c r="H66" s="8">
        <f>SUM(B66:G66)</f>
        <v>34912.5</v>
      </c>
      <c r="J66" s="8">
        <f>J64*0.1995</f>
        <v>34912.5</v>
      </c>
    </row>
    <row r="67" spans="1:30" x14ac:dyDescent="0.3">
      <c r="A67" s="9" t="s">
        <v>124</v>
      </c>
      <c r="B67" s="129">
        <f>$J67*0.12</f>
        <v>4860</v>
      </c>
      <c r="C67" s="129">
        <f t="shared" si="14"/>
        <v>4860</v>
      </c>
      <c r="D67" s="129">
        <f t="shared" si="14"/>
        <v>4860</v>
      </c>
      <c r="E67" s="129">
        <f t="shared" si="14"/>
        <v>4860</v>
      </c>
      <c r="F67" s="129">
        <f t="shared" si="14"/>
        <v>4860</v>
      </c>
      <c r="G67" s="129">
        <f>0.4*J67</f>
        <v>16200</v>
      </c>
      <c r="H67" s="24">
        <f>SUM(B67:G67)</f>
        <v>40500</v>
      </c>
      <c r="J67" s="8">
        <v>40500</v>
      </c>
    </row>
    <row r="68" spans="1:30" s="35" customFormat="1" x14ac:dyDescent="0.3">
      <c r="A68" s="32" t="s">
        <v>137</v>
      </c>
      <c r="B68" s="33">
        <f t="shared" ref="B68:H68" si="15">SUM(B64:B67)</f>
        <v>30354</v>
      </c>
      <c r="C68" s="34">
        <f t="shared" si="15"/>
        <v>30354</v>
      </c>
      <c r="D68" s="34">
        <f t="shared" si="15"/>
        <v>30354</v>
      </c>
      <c r="E68" s="34">
        <f t="shared" si="15"/>
        <v>30354</v>
      </c>
      <c r="F68" s="33">
        <f>SUM(F64:F67)</f>
        <v>30354</v>
      </c>
      <c r="G68" s="34">
        <f t="shared" si="15"/>
        <v>101180</v>
      </c>
      <c r="H68" s="34">
        <f t="shared" si="15"/>
        <v>252950</v>
      </c>
      <c r="I68" s="4"/>
      <c r="J68" s="34">
        <f>SUM(J64:J67)</f>
        <v>252950</v>
      </c>
      <c r="K68" s="4"/>
      <c r="L68" s="4"/>
      <c r="M68" s="4"/>
      <c r="N68" s="4"/>
      <c r="O68" s="4"/>
      <c r="P68" s="4"/>
      <c r="Q68" s="4"/>
      <c r="R68" s="4"/>
      <c r="S68" s="4"/>
      <c r="T68" s="4"/>
      <c r="U68" s="4"/>
      <c r="V68" s="4"/>
      <c r="W68" s="4"/>
      <c r="X68" s="4"/>
      <c r="Y68" s="4"/>
      <c r="Z68" s="4"/>
      <c r="AA68" s="4"/>
      <c r="AB68" s="4"/>
      <c r="AC68" s="4"/>
      <c r="AD68" s="4"/>
    </row>
    <row r="70" spans="1:30" x14ac:dyDescent="0.3">
      <c r="A70" s="6" t="s">
        <v>236</v>
      </c>
    </row>
    <row r="71" spans="1:30" x14ac:dyDescent="0.3">
      <c r="A71" s="9" t="s">
        <v>1</v>
      </c>
      <c r="B71" s="25"/>
      <c r="C71" s="25"/>
      <c r="D71" s="25"/>
      <c r="E71" s="51"/>
      <c r="F71" s="25"/>
      <c r="G71" s="51">
        <v>55000</v>
      </c>
      <c r="H71" s="51">
        <v>55000</v>
      </c>
      <c r="I71" s="4" t="s">
        <v>267</v>
      </c>
      <c r="J71" s="51">
        <v>55000</v>
      </c>
    </row>
    <row r="72" spans="1:30" x14ac:dyDescent="0.3">
      <c r="A72" s="9" t="s">
        <v>122</v>
      </c>
      <c r="B72" s="25"/>
      <c r="C72" s="25"/>
      <c r="D72" s="25"/>
      <c r="E72" s="51"/>
      <c r="F72" s="25"/>
      <c r="G72" s="51">
        <f>G71*0.0145</f>
        <v>797.5</v>
      </c>
      <c r="H72" s="51">
        <f>H71*0.0145</f>
        <v>797.5</v>
      </c>
      <c r="I72" s="4" t="s">
        <v>267</v>
      </c>
      <c r="J72" s="51">
        <f>J71*0.0145</f>
        <v>797.5</v>
      </c>
    </row>
    <row r="73" spans="1:30" x14ac:dyDescent="0.3">
      <c r="A73" s="9" t="s">
        <v>123</v>
      </c>
      <c r="B73" s="129"/>
      <c r="C73" s="129"/>
      <c r="D73" s="129"/>
      <c r="E73" s="63"/>
      <c r="F73" s="129"/>
      <c r="G73" s="63">
        <f>G71*0.1995</f>
        <v>10972.5</v>
      </c>
      <c r="H73" s="63">
        <f>H71*0.1995</f>
        <v>10972.5</v>
      </c>
      <c r="I73" s="4" t="s">
        <v>267</v>
      </c>
      <c r="J73" s="63">
        <f>J71*0.1995</f>
        <v>10972.5</v>
      </c>
    </row>
    <row r="74" spans="1:30" x14ac:dyDescent="0.3">
      <c r="A74" s="35" t="s">
        <v>247</v>
      </c>
      <c r="B74" s="153">
        <v>0</v>
      </c>
      <c r="C74" s="153">
        <v>0</v>
      </c>
      <c r="D74" s="153">
        <v>0</v>
      </c>
      <c r="E74" s="152">
        <f>+E71+E72+E73</f>
        <v>0</v>
      </c>
      <c r="F74" s="153">
        <v>0</v>
      </c>
      <c r="G74" s="152">
        <f>+G71+G72+G73</f>
        <v>66770</v>
      </c>
      <c r="H74" s="22">
        <f>SUM(H71:H73)</f>
        <v>66770</v>
      </c>
      <c r="J74" s="22">
        <f>SUM(J71:J73)</f>
        <v>66770</v>
      </c>
    </row>
    <row r="76" spans="1:30" x14ac:dyDescent="0.3">
      <c r="A76" s="6" t="s">
        <v>138</v>
      </c>
    </row>
    <row r="77" spans="1:30" x14ac:dyDescent="0.3">
      <c r="A77" s="9" t="s">
        <v>1</v>
      </c>
      <c r="B77" s="25">
        <v>0</v>
      </c>
      <c r="C77" s="25">
        <v>0</v>
      </c>
      <c r="D77" s="25">
        <v>7200</v>
      </c>
      <c r="E77" s="25">
        <v>0</v>
      </c>
      <c r="F77" s="25">
        <v>0</v>
      </c>
      <c r="G77" s="25">
        <v>0</v>
      </c>
      <c r="H77" s="8">
        <f>SUM(B77:G77)</f>
        <v>7200</v>
      </c>
      <c r="I77" s="4" t="s">
        <v>307</v>
      </c>
      <c r="J77" s="8">
        <v>7200</v>
      </c>
    </row>
    <row r="78" spans="1:30" x14ac:dyDescent="0.3">
      <c r="A78" s="9" t="s">
        <v>122</v>
      </c>
      <c r="B78" s="25">
        <v>0</v>
      </c>
      <c r="C78" s="25">
        <v>0</v>
      </c>
      <c r="D78" s="25">
        <f>D77*0.0145</f>
        <v>104.4</v>
      </c>
      <c r="E78" s="25">
        <v>0</v>
      </c>
      <c r="F78" s="25">
        <v>0</v>
      </c>
      <c r="G78" s="25">
        <v>0</v>
      </c>
      <c r="H78" s="8">
        <f t="shared" ref="H78:H85" si="16">SUM(B78:G78)</f>
        <v>104.4</v>
      </c>
      <c r="J78" s="8">
        <v>104</v>
      </c>
    </row>
    <row r="79" spans="1:30" x14ac:dyDescent="0.3">
      <c r="A79" s="9" t="s">
        <v>123</v>
      </c>
      <c r="B79" s="25">
        <v>0</v>
      </c>
      <c r="C79" s="25">
        <v>0</v>
      </c>
      <c r="D79" s="25">
        <v>1432</v>
      </c>
      <c r="E79" s="25">
        <v>0</v>
      </c>
      <c r="F79" s="25">
        <v>0</v>
      </c>
      <c r="G79" s="25">
        <v>0</v>
      </c>
      <c r="H79" s="8">
        <f t="shared" si="16"/>
        <v>1432</v>
      </c>
      <c r="J79" s="8">
        <v>1397</v>
      </c>
    </row>
    <row r="80" spans="1:30" x14ac:dyDescent="0.3">
      <c r="A80" s="9" t="s">
        <v>124</v>
      </c>
      <c r="B80" s="25">
        <v>0</v>
      </c>
      <c r="C80" s="25">
        <v>0</v>
      </c>
      <c r="D80" s="25">
        <f>$J80*0.15</f>
        <v>0</v>
      </c>
      <c r="E80" s="25">
        <v>0</v>
      </c>
      <c r="F80" s="25">
        <v>0</v>
      </c>
      <c r="G80" s="25">
        <v>0</v>
      </c>
      <c r="H80" s="8">
        <f t="shared" si="16"/>
        <v>0</v>
      </c>
      <c r="J80" s="8">
        <v>0</v>
      </c>
    </row>
    <row r="81" spans="1:30" x14ac:dyDescent="0.3">
      <c r="A81" s="9" t="s">
        <v>228</v>
      </c>
      <c r="B81" s="25">
        <f>$J81*0.12</f>
        <v>30000</v>
      </c>
      <c r="C81" s="25">
        <f t="shared" ref="C81:F85" si="17">$J81*0.12</f>
        <v>30000</v>
      </c>
      <c r="D81" s="25">
        <f t="shared" si="17"/>
        <v>30000</v>
      </c>
      <c r="E81" s="25">
        <f t="shared" si="17"/>
        <v>30000</v>
      </c>
      <c r="F81" s="25">
        <f t="shared" si="17"/>
        <v>30000</v>
      </c>
      <c r="G81" s="25">
        <f>0.4*J81</f>
        <v>100000</v>
      </c>
      <c r="H81" s="8">
        <f t="shared" si="16"/>
        <v>250000</v>
      </c>
      <c r="J81" s="8">
        <v>250000</v>
      </c>
    </row>
    <row r="82" spans="1:30" x14ac:dyDescent="0.3">
      <c r="A82" s="9" t="s">
        <v>12</v>
      </c>
      <c r="B82" s="25">
        <f>$J82*0.12</f>
        <v>1800</v>
      </c>
      <c r="C82" s="25">
        <f t="shared" si="17"/>
        <v>1800</v>
      </c>
      <c r="D82" s="25">
        <f t="shared" si="17"/>
        <v>1800</v>
      </c>
      <c r="E82" s="25">
        <f t="shared" si="17"/>
        <v>1800</v>
      </c>
      <c r="F82" s="25">
        <f t="shared" si="17"/>
        <v>1800</v>
      </c>
      <c r="G82" s="25">
        <f>0.4*J82</f>
        <v>6000</v>
      </c>
      <c r="H82" s="8">
        <f>SUM(B82:G82)</f>
        <v>15000</v>
      </c>
      <c r="J82" s="8">
        <v>15000</v>
      </c>
    </row>
    <row r="83" spans="1:30" x14ac:dyDescent="0.3">
      <c r="A83" s="9" t="s">
        <v>13</v>
      </c>
      <c r="B83" s="25">
        <f>$J83*0.12</f>
        <v>3360</v>
      </c>
      <c r="C83" s="25">
        <f t="shared" si="17"/>
        <v>3360</v>
      </c>
      <c r="D83" s="25">
        <f t="shared" si="17"/>
        <v>3360</v>
      </c>
      <c r="E83" s="25">
        <f t="shared" si="17"/>
        <v>3360</v>
      </c>
      <c r="F83" s="25">
        <f t="shared" si="17"/>
        <v>3360</v>
      </c>
      <c r="G83" s="25">
        <f>0.4*J83</f>
        <v>11200</v>
      </c>
      <c r="H83" s="8">
        <f t="shared" si="16"/>
        <v>28000</v>
      </c>
      <c r="J83" s="8">
        <v>28000</v>
      </c>
    </row>
    <row r="84" spans="1:30" x14ac:dyDescent="0.3">
      <c r="A84" s="9" t="s">
        <v>64</v>
      </c>
      <c r="B84" s="25">
        <f>$J84*0.12</f>
        <v>7200</v>
      </c>
      <c r="C84" s="25">
        <f t="shared" si="17"/>
        <v>7200</v>
      </c>
      <c r="D84" s="25">
        <f t="shared" si="17"/>
        <v>7200</v>
      </c>
      <c r="E84" s="25">
        <f t="shared" si="17"/>
        <v>7200</v>
      </c>
      <c r="F84" s="25">
        <f t="shared" si="17"/>
        <v>7200</v>
      </c>
      <c r="G84" s="25">
        <f>0.4*J84</f>
        <v>24000</v>
      </c>
      <c r="H84" s="8">
        <f t="shared" si="16"/>
        <v>60000</v>
      </c>
      <c r="I84" s="4" t="s">
        <v>15</v>
      </c>
      <c r="J84" s="8">
        <v>60000</v>
      </c>
    </row>
    <row r="85" spans="1:30" x14ac:dyDescent="0.3">
      <c r="A85" s="9" t="s">
        <v>48</v>
      </c>
      <c r="B85" s="25">
        <f>$J85*0.12</f>
        <v>1920</v>
      </c>
      <c r="C85" s="25">
        <f t="shared" si="17"/>
        <v>1920</v>
      </c>
      <c r="D85" s="25">
        <f t="shared" si="17"/>
        <v>1920</v>
      </c>
      <c r="E85" s="25">
        <f t="shared" si="17"/>
        <v>1920</v>
      </c>
      <c r="F85" s="25">
        <f t="shared" si="17"/>
        <v>1920</v>
      </c>
      <c r="G85" s="25">
        <f>0.4*J85</f>
        <v>6400</v>
      </c>
      <c r="H85" s="8">
        <f t="shared" si="16"/>
        <v>16000</v>
      </c>
      <c r="I85" s="4" t="s">
        <v>15</v>
      </c>
      <c r="J85" s="8">
        <v>16000</v>
      </c>
    </row>
    <row r="86" spans="1:30" s="27" customFormat="1" x14ac:dyDescent="0.3">
      <c r="A86" s="32" t="s">
        <v>138</v>
      </c>
      <c r="B86" s="36">
        <f t="shared" ref="B86:H86" si="18">SUM(B77:B85)</f>
        <v>44280</v>
      </c>
      <c r="C86" s="36">
        <f t="shared" si="18"/>
        <v>44280</v>
      </c>
      <c r="D86" s="36">
        <f t="shared" si="18"/>
        <v>53016.4</v>
      </c>
      <c r="E86" s="36">
        <f t="shared" si="18"/>
        <v>44280</v>
      </c>
      <c r="F86" s="36">
        <f>SUM(F77:F85)</f>
        <v>44280</v>
      </c>
      <c r="G86" s="36">
        <f>SUM(G77:G85)</f>
        <v>147600</v>
      </c>
      <c r="H86" s="36">
        <f t="shared" si="18"/>
        <v>377736.4</v>
      </c>
      <c r="I86" s="4"/>
      <c r="J86" s="36">
        <f>SUM(J77:J85)</f>
        <v>377701</v>
      </c>
      <c r="K86" s="4"/>
      <c r="L86" s="4"/>
      <c r="M86" s="4"/>
      <c r="N86" s="4"/>
      <c r="O86" s="4"/>
      <c r="P86" s="4"/>
      <c r="Q86" s="4"/>
      <c r="R86" s="4"/>
      <c r="S86" s="4"/>
      <c r="T86" s="4"/>
      <c r="U86" s="4"/>
      <c r="V86" s="4"/>
      <c r="W86" s="4"/>
      <c r="X86" s="4"/>
      <c r="Y86" s="4"/>
      <c r="Z86" s="4"/>
      <c r="AA86" s="4"/>
      <c r="AB86" s="4"/>
      <c r="AC86" s="4"/>
      <c r="AD86" s="4"/>
    </row>
    <row r="87" spans="1:30" x14ac:dyDescent="0.3">
      <c r="B87" s="140"/>
      <c r="C87" s="140"/>
      <c r="D87" s="140"/>
      <c r="E87" s="140"/>
      <c r="F87" s="140"/>
      <c r="G87" s="140"/>
      <c r="H87" s="138"/>
      <c r="I87" s="134"/>
    </row>
    <row r="88" spans="1:30" x14ac:dyDescent="0.3">
      <c r="A88" s="37" t="s">
        <v>185</v>
      </c>
    </row>
    <row r="89" spans="1:30" s="21" customFormat="1" x14ac:dyDescent="0.3">
      <c r="A89" s="21" t="s">
        <v>139</v>
      </c>
      <c r="B89" s="22">
        <f t="shared" ref="B89:G89" si="19">+B86+B68+B61+B49+B41+B30+B23+B15+B74</f>
        <v>2175667</v>
      </c>
      <c r="C89" s="22">
        <f t="shared" si="19"/>
        <v>2344978</v>
      </c>
      <c r="D89" s="22">
        <f t="shared" si="19"/>
        <v>2786832.4</v>
      </c>
      <c r="E89" s="22">
        <f t="shared" si="19"/>
        <v>1708259</v>
      </c>
      <c r="F89" s="22">
        <f t="shared" si="19"/>
        <v>1331081.5</v>
      </c>
      <c r="G89" s="22">
        <f t="shared" si="19"/>
        <v>588910</v>
      </c>
      <c r="H89" s="22">
        <f>+H86+H68+H61+H49+H41+H30+H23+H15</f>
        <v>10868957.9</v>
      </c>
      <c r="I89" s="23"/>
      <c r="J89" s="22">
        <f>+J86+J68+J61+J49+J41+J30+J23+J15</f>
        <v>10868922.5</v>
      </c>
      <c r="K89" s="23"/>
      <c r="L89" s="23"/>
      <c r="M89" s="23"/>
      <c r="N89" s="23"/>
      <c r="O89" s="23"/>
      <c r="P89" s="23"/>
      <c r="Q89" s="23"/>
      <c r="R89" s="23"/>
      <c r="S89" s="23"/>
      <c r="T89" s="23"/>
      <c r="U89" s="23"/>
      <c r="V89" s="23"/>
      <c r="W89" s="23"/>
      <c r="X89" s="23"/>
      <c r="Y89" s="23"/>
      <c r="Z89" s="23"/>
      <c r="AA89" s="23"/>
      <c r="AB89" s="23"/>
      <c r="AC89" s="23"/>
      <c r="AD89" s="23"/>
    </row>
    <row r="90" spans="1:30" s="38" customFormat="1" x14ac:dyDescent="0.3">
      <c r="A90" s="38" t="s">
        <v>140</v>
      </c>
      <c r="B90" s="39" t="e">
        <f>#REF!</f>
        <v>#REF!</v>
      </c>
      <c r="C90" s="39" t="e">
        <f>#REF!</f>
        <v>#REF!</v>
      </c>
      <c r="D90" s="39" t="e">
        <f>#REF!</f>
        <v>#REF!</v>
      </c>
      <c r="E90" s="39" t="e">
        <f>#REF!</f>
        <v>#REF!</v>
      </c>
      <c r="F90" s="39" t="e">
        <f>#REF!</f>
        <v>#REF!</v>
      </c>
      <c r="G90" s="39" t="e">
        <f>#REF!</f>
        <v>#REF!</v>
      </c>
      <c r="H90" s="40" t="e">
        <f>+B90+C90+D90+E90+G90+F90</f>
        <v>#REF!</v>
      </c>
      <c r="I90" s="121">
        <v>0.05</v>
      </c>
      <c r="J90" s="39" t="e">
        <f>SUM(B90:F90)</f>
        <v>#REF!</v>
      </c>
      <c r="K90" s="23"/>
      <c r="L90" s="23"/>
      <c r="M90" s="23"/>
      <c r="N90" s="23"/>
      <c r="O90" s="23"/>
      <c r="P90" s="23"/>
      <c r="Q90" s="23"/>
      <c r="R90" s="23"/>
      <c r="S90" s="23"/>
      <c r="T90" s="23"/>
      <c r="U90" s="23"/>
      <c r="V90" s="23"/>
      <c r="W90" s="23"/>
      <c r="X90" s="23"/>
      <c r="Y90" s="23"/>
      <c r="Z90" s="23"/>
      <c r="AA90" s="23"/>
      <c r="AB90" s="23"/>
      <c r="AC90" s="23"/>
      <c r="AD90" s="23"/>
    </row>
    <row r="91" spans="1:30" s="41" customFormat="1" ht="15" thickBot="1" x14ac:dyDescent="0.35">
      <c r="A91" s="41" t="s">
        <v>141</v>
      </c>
      <c r="B91" s="42" t="e">
        <f t="shared" ref="B91:H91" si="20">SUM(B89:B90)</f>
        <v>#REF!</v>
      </c>
      <c r="C91" s="42" t="e">
        <f t="shared" si="20"/>
        <v>#REF!</v>
      </c>
      <c r="D91" s="42" t="e">
        <f t="shared" si="20"/>
        <v>#REF!</v>
      </c>
      <c r="E91" s="42" t="e">
        <f t="shared" si="20"/>
        <v>#REF!</v>
      </c>
      <c r="F91" s="42" t="e">
        <f>SUM(F89:F90)</f>
        <v>#REF!</v>
      </c>
      <c r="G91" s="42" t="e">
        <f t="shared" si="20"/>
        <v>#REF!</v>
      </c>
      <c r="H91" s="42" t="e">
        <f t="shared" si="20"/>
        <v>#REF!</v>
      </c>
      <c r="I91" s="23"/>
      <c r="J91" s="42" t="e">
        <f>SUM(J89:J90)</f>
        <v>#REF!</v>
      </c>
      <c r="K91" s="23"/>
      <c r="L91" s="23"/>
      <c r="M91" s="23"/>
      <c r="N91" s="23"/>
      <c r="O91" s="23"/>
      <c r="P91" s="23"/>
      <c r="Q91" s="23"/>
      <c r="R91" s="23"/>
      <c r="S91" s="23"/>
      <c r="T91" s="23"/>
      <c r="U91" s="23"/>
      <c r="V91" s="23"/>
      <c r="W91" s="23"/>
      <c r="X91" s="23"/>
      <c r="Y91" s="23"/>
      <c r="Z91" s="23"/>
      <c r="AA91" s="23"/>
      <c r="AB91" s="23"/>
      <c r="AC91" s="23"/>
      <c r="AD91" s="23"/>
    </row>
    <row r="92" spans="1:30" ht="15" thickTop="1" x14ac:dyDescent="0.3"/>
    <row r="95" spans="1:30" ht="15.75" customHeight="1" x14ac:dyDescent="0.3">
      <c r="A95" s="3" t="s">
        <v>211</v>
      </c>
      <c r="B95" s="8">
        <f t="shared" ref="B95:G95" si="21">+B77+B64+B52+B44+B33+B26+B18+B5</f>
        <v>1381156</v>
      </c>
      <c r="C95" s="8">
        <f t="shared" si="21"/>
        <v>1507082</v>
      </c>
      <c r="D95" s="8">
        <f t="shared" si="21"/>
        <v>1764242</v>
      </c>
      <c r="E95" s="8">
        <f t="shared" si="21"/>
        <v>1084413</v>
      </c>
      <c r="F95" s="8">
        <f t="shared" si="21"/>
        <v>847056</v>
      </c>
      <c r="G95" s="8">
        <f t="shared" si="21"/>
        <v>243520</v>
      </c>
      <c r="H95" s="8">
        <f>SUM(B95:G95)</f>
        <v>6827469</v>
      </c>
    </row>
    <row r="96" spans="1:30" x14ac:dyDescent="0.3">
      <c r="A96" s="43" t="s">
        <v>197</v>
      </c>
      <c r="B96" s="25">
        <f>+B77+B78+B79+B80+B64+B65+B66+B67+B52+B53+B54+B55+B56+B44+B45+B46+B47+B33+B34+B35+B36+B37+B26+B27+B28+B29+B18+B19+B20+B21+B15+B48+B22</f>
        <v>2122171</v>
      </c>
      <c r="C96" s="25">
        <f>+C77+C78+C79+C80+C64+C65+C66+C67+C52+C53+C54+C55+C56+C44+C45+C46+C47+C33+C34+C35+C36+C37+C26+C27+C28+C29+C18+C19+C20+C21+C15+C48+C22</f>
        <v>2291482</v>
      </c>
      <c r="D96" s="25">
        <f>+D77+D78+D79+D80+D64+D65+D66+D67+D52+D53+D54+D55+D56+D44+D45+D46+D47+D33+D34+D35+D36+D37+D26+D27+D28+D29+D18+D19+D20+D21+D15+D48+D22</f>
        <v>2733336.4</v>
      </c>
      <c r="E96" s="25">
        <f>+E77+E78+E79+E80+E64+E65+E66+E67+E52+E53+E54+E55+E56+E44+E45+E46+E47+E33+E34+E35+E36+E37+E26+E27+E28+E29+E18+E19+E20+E21+E15+E48+E22</f>
        <v>1654763</v>
      </c>
      <c r="F96" s="25">
        <f>+F77+F78+F79+F80+F64+F65+F66+F67+F52+F53+F54+F55+F56+F44+F45+F46+F47+F33+F34+F35+F36+F37+F26+F27+F28+F29+F18+F19+F20+F21+F15+F48+F22</f>
        <v>1277585.5</v>
      </c>
      <c r="G96" s="25">
        <f>+G77+G78+G79+G80+G64+G65+G66+G67+G52+G53+G54+G55+G56+G44+G45+G46+G47+G33+G34+G35+G36+G37+G26+G27+G28+G29+G18+G19+G20+G21+G15</f>
        <v>343820</v>
      </c>
      <c r="H96" s="8">
        <f>SUM(B96:G96)</f>
        <v>10423157.9</v>
      </c>
      <c r="I96" s="25">
        <f>SUM(B96:G96)</f>
        <v>10423157.9</v>
      </c>
    </row>
    <row r="97" spans="1:9" ht="15.75" customHeight="1" x14ac:dyDescent="0.3">
      <c r="B97" s="8"/>
      <c r="C97" s="8"/>
      <c r="D97" s="8"/>
      <c r="E97" s="8"/>
      <c r="F97" s="8"/>
      <c r="G97" s="8"/>
      <c r="H97" s="8"/>
    </row>
    <row r="98" spans="1:9" x14ac:dyDescent="0.3">
      <c r="I98" s="122" t="e">
        <f>I96/I102</f>
        <v>#REF!</v>
      </c>
    </row>
    <row r="99" spans="1:9" x14ac:dyDescent="0.3">
      <c r="A99" s="3" t="s">
        <v>214</v>
      </c>
      <c r="B99" s="122" t="e">
        <f>B96/'HS detail'!#REF!</f>
        <v>#REF!</v>
      </c>
      <c r="C99" s="122" t="e">
        <f>C96/'MS detail'!#REF!</f>
        <v>#REF!</v>
      </c>
      <c r="D99" s="122" t="e">
        <f>D96/'ES detail'!#REF!</f>
        <v>#REF!</v>
      </c>
      <c r="E99" s="122" t="e">
        <f>E96/'JICA detail'!#REF!</f>
        <v>#REF!</v>
      </c>
      <c r="F99" s="122" t="e">
        <f>F96/'PTEC detail'!#REF!</f>
        <v>#REF!</v>
      </c>
      <c r="G99" s="122" t="s">
        <v>15</v>
      </c>
      <c r="H99" s="122" t="s">
        <v>15</v>
      </c>
    </row>
    <row r="100" spans="1:9" x14ac:dyDescent="0.3">
      <c r="A100" s="3" t="s">
        <v>195</v>
      </c>
      <c r="B100" s="123" t="e">
        <f>'HS detail'!#REF!/'HS detail'!#REF!</f>
        <v>#REF!</v>
      </c>
      <c r="C100" s="123" t="e">
        <f>'MS detail'!#REF!/'MS detail'!#REF!</f>
        <v>#REF!</v>
      </c>
      <c r="D100" s="123" t="e">
        <f>'ES detail'!#REF!/'ES detail'!#REF!</f>
        <v>#REF!</v>
      </c>
      <c r="E100" s="123" t="e">
        <f>'JICA detail'!#REF!/'JICA detail'!#REF!</f>
        <v>#REF!</v>
      </c>
      <c r="F100" s="123" t="e">
        <f>'PTEC detail'!#REF!/'PTEC detail'!#REF!</f>
        <v>#REF!</v>
      </c>
      <c r="G100" s="123" t="s">
        <v>15</v>
      </c>
      <c r="H100" s="123" t="s">
        <v>15</v>
      </c>
    </row>
    <row r="102" spans="1:9" x14ac:dyDescent="0.3">
      <c r="A102" s="3" t="s">
        <v>18</v>
      </c>
      <c r="B102" s="57" t="e">
        <f>'HS detail'!#REF!</f>
        <v>#REF!</v>
      </c>
      <c r="C102" s="57" t="e">
        <f>'MS detail'!#REF!</f>
        <v>#REF!</v>
      </c>
      <c r="D102" s="57" t="e">
        <f>'ES detail'!#REF!</f>
        <v>#REF!</v>
      </c>
      <c r="E102" s="57" t="e">
        <f>'JICA detail'!#REF!</f>
        <v>#REF!</v>
      </c>
      <c r="F102" s="57" t="e">
        <f>'PTEC detail'!#REF!</f>
        <v>#REF!</v>
      </c>
      <c r="I102" s="51" t="e">
        <f>SUM(B102:F102)</f>
        <v>#REF!</v>
      </c>
    </row>
    <row r="103" spans="1:9" x14ac:dyDescent="0.3">
      <c r="A103" s="3" t="s">
        <v>317</v>
      </c>
      <c r="B103" s="57" t="e">
        <f>'HS detail'!#REF!</f>
        <v>#REF!</v>
      </c>
      <c r="C103" s="57" t="e">
        <f>'MS detail'!#REF!</f>
        <v>#REF!</v>
      </c>
      <c r="D103" s="57" t="e">
        <f>'ES detail'!#REF!</f>
        <v>#REF!</v>
      </c>
      <c r="E103" s="57" t="e">
        <f>'JICA detail'!#REF!</f>
        <v>#REF!</v>
      </c>
      <c r="F103" s="57" t="e">
        <f>'PTEC detail'!#REF!</f>
        <v>#REF!</v>
      </c>
      <c r="I103" s="51" t="e">
        <f>SUM(B103:H103)</f>
        <v>#REF!</v>
      </c>
    </row>
    <row r="104" spans="1:9" x14ac:dyDescent="0.3">
      <c r="I104" s="123" t="e">
        <f>I103/I102</f>
        <v>#REF!</v>
      </c>
    </row>
  </sheetData>
  <pageMargins left="0.7" right="0.7" top="0.75" bottom="0.75" header="0.3" footer="0.3"/>
  <pageSetup orientation="landscape" r:id="rId1"/>
  <headerFooter>
    <oddHeader>&amp;CCMO Expense
2017-2018 Budget Draft #1
January 31, 2017</oddHeader>
    <oddFooter>&amp;L&amp;D&amp;R&amp;P</oddFooter>
  </headerFooter>
  <rowBreaks count="1" manualBreakCount="1">
    <brk id="3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1"/>
  <sheetViews>
    <sheetView zoomScale="77" zoomScaleNormal="77" workbookViewId="0">
      <pane xSplit="1" ySplit="2" topLeftCell="B21" activePane="bottomRight" state="frozen"/>
      <selection pane="topRight" activeCell="B1" sqref="B1"/>
      <selection pane="bottomLeft" activeCell="A3" sqref="A3"/>
      <selection pane="bottomRight" activeCell="Q62" sqref="Q62"/>
    </sheetView>
  </sheetViews>
  <sheetFormatPr defaultColWidth="9.109375" defaultRowHeight="14.4" x14ac:dyDescent="0.3"/>
  <cols>
    <col min="1" max="1" width="25" style="3" customWidth="1"/>
    <col min="2" max="4" width="12.88671875" style="3" customWidth="1"/>
    <col min="5" max="10" width="11.88671875" style="3" customWidth="1"/>
    <col min="11" max="14" width="10.6640625" style="3" customWidth="1"/>
    <col min="15" max="15" width="14" style="3" customWidth="1"/>
    <col min="16" max="16" width="21" style="4" customWidth="1"/>
    <col min="17" max="17" width="9.88671875" style="3" customWidth="1"/>
    <col min="18" max="18" width="41" style="116" customWidth="1"/>
    <col min="19" max="19" width="11.88671875" style="130" customWidth="1"/>
    <col min="20" max="20" width="13.44140625" style="130" customWidth="1"/>
    <col min="21" max="45" width="9.109375" style="4"/>
    <col min="46" max="16384" width="9.109375" style="3"/>
  </cols>
  <sheetData>
    <row r="1" spans="1:45" ht="15" thickBot="1" x14ac:dyDescent="0.35">
      <c r="A1" s="3" t="s">
        <v>15</v>
      </c>
      <c r="B1" s="136">
        <v>400</v>
      </c>
      <c r="C1" s="136"/>
      <c r="D1" s="136" t="s">
        <v>108</v>
      </c>
      <c r="E1" s="136">
        <v>430</v>
      </c>
      <c r="F1" s="136"/>
      <c r="G1" s="136" t="s">
        <v>109</v>
      </c>
      <c r="H1" s="136">
        <f>508-16+12</f>
        <v>504</v>
      </c>
      <c r="I1" s="136"/>
      <c r="J1" s="136" t="s">
        <v>110</v>
      </c>
      <c r="K1" s="136">
        <v>296</v>
      </c>
      <c r="L1" s="136"/>
      <c r="M1" s="136" t="s">
        <v>188</v>
      </c>
      <c r="N1" s="136"/>
      <c r="O1" s="136"/>
      <c r="P1" s="134" t="s">
        <v>15</v>
      </c>
      <c r="Q1" s="135"/>
      <c r="R1" s="137">
        <f>SUM(B1:K1)</f>
        <v>1630</v>
      </c>
    </row>
    <row r="2" spans="1:45" ht="19.5" customHeight="1" thickBot="1" x14ac:dyDescent="0.35">
      <c r="B2" s="5" t="s">
        <v>108</v>
      </c>
      <c r="C2" s="5" t="s">
        <v>253</v>
      </c>
      <c r="D2" s="5" t="s">
        <v>254</v>
      </c>
      <c r="E2" s="5" t="s">
        <v>109</v>
      </c>
      <c r="F2" s="5" t="s">
        <v>253</v>
      </c>
      <c r="G2" s="5" t="s">
        <v>254</v>
      </c>
      <c r="H2" s="5" t="s">
        <v>110</v>
      </c>
      <c r="I2" s="5" t="s">
        <v>253</v>
      </c>
      <c r="J2" s="5" t="s">
        <v>254</v>
      </c>
      <c r="K2" s="5" t="s">
        <v>183</v>
      </c>
      <c r="L2" s="5" t="s">
        <v>253</v>
      </c>
      <c r="M2" s="5" t="s">
        <v>254</v>
      </c>
      <c r="N2" s="5" t="s">
        <v>182</v>
      </c>
      <c r="O2" s="5" t="s">
        <v>107</v>
      </c>
      <c r="P2" s="4" t="s">
        <v>184</v>
      </c>
      <c r="Q2" s="5" t="s">
        <v>107</v>
      </c>
      <c r="R2" s="133" t="s">
        <v>222</v>
      </c>
      <c r="S2" s="130" t="s">
        <v>108</v>
      </c>
      <c r="T2" s="130" t="s">
        <v>109</v>
      </c>
      <c r="U2" s="4" t="s">
        <v>221</v>
      </c>
    </row>
    <row r="4" spans="1:45" ht="16.5" customHeight="1" x14ac:dyDescent="0.3">
      <c r="A4" s="6" t="s">
        <v>218</v>
      </c>
    </row>
    <row r="5" spans="1:45" x14ac:dyDescent="0.3">
      <c r="A5" s="7" t="s">
        <v>1</v>
      </c>
      <c r="B5" s="25">
        <f>$Q5*0.15</f>
        <v>7402.7804999999998</v>
      </c>
      <c r="C5" s="25"/>
      <c r="D5" s="25"/>
      <c r="E5" s="25">
        <f>$Q5*0.15</f>
        <v>7402.7804999999998</v>
      </c>
      <c r="F5" s="25"/>
      <c r="G5" s="25"/>
      <c r="H5" s="25">
        <f>$Q5*0.15</f>
        <v>7402.7804999999998</v>
      </c>
      <c r="I5" s="25"/>
      <c r="J5" s="25"/>
      <c r="K5" s="25">
        <f>$Q5*0.15</f>
        <v>7402.7804999999998</v>
      </c>
      <c r="L5" s="25"/>
      <c r="M5" s="25"/>
      <c r="N5" s="25">
        <f>0.4*Q5</f>
        <v>19740.748000000003</v>
      </c>
      <c r="O5" s="8">
        <f t="shared" ref="O5:O15" si="0">SUM(B5:N5)</f>
        <v>49351.87</v>
      </c>
      <c r="P5" s="4" t="s">
        <v>225</v>
      </c>
      <c r="Q5" s="143">
        <v>49351.87</v>
      </c>
    </row>
    <row r="6" spans="1:45" ht="18" customHeight="1" x14ac:dyDescent="0.3">
      <c r="A6" s="9" t="s">
        <v>121</v>
      </c>
      <c r="B6" s="10">
        <v>0</v>
      </c>
      <c r="C6" s="10"/>
      <c r="D6" s="10"/>
      <c r="E6" s="10">
        <v>0</v>
      </c>
      <c r="F6" s="10"/>
      <c r="G6" s="10"/>
      <c r="H6" s="10">
        <v>0</v>
      </c>
      <c r="I6" s="10"/>
      <c r="J6" s="10"/>
      <c r="K6" s="25">
        <v>0</v>
      </c>
      <c r="L6" s="25"/>
      <c r="M6" s="25"/>
      <c r="N6" s="25">
        <v>0</v>
      </c>
      <c r="O6" s="8">
        <f t="shared" si="0"/>
        <v>0</v>
      </c>
      <c r="P6" s="4" t="s">
        <v>15</v>
      </c>
      <c r="Q6" s="143" t="s">
        <v>15</v>
      </c>
    </row>
    <row r="7" spans="1:45" x14ac:dyDescent="0.3">
      <c r="A7" s="7" t="s">
        <v>122</v>
      </c>
      <c r="B7" s="25">
        <f>$Q7*0.15</f>
        <v>96.454499999999996</v>
      </c>
      <c r="C7" s="25"/>
      <c r="D7" s="25"/>
      <c r="E7" s="25">
        <f>$Q7*0.15</f>
        <v>96.454499999999996</v>
      </c>
      <c r="F7" s="25"/>
      <c r="G7" s="25"/>
      <c r="H7" s="25">
        <f>$Q7*0.15</f>
        <v>96.454499999999996</v>
      </c>
      <c r="I7" s="25"/>
      <c r="J7" s="25"/>
      <c r="K7" s="25">
        <f>$Q7*0.15</f>
        <v>96.454499999999996</v>
      </c>
      <c r="L7" s="25"/>
      <c r="M7" s="25"/>
      <c r="N7" s="25">
        <f>0.4*Q7</f>
        <v>257.21199999999999</v>
      </c>
      <c r="O7" s="8">
        <f t="shared" si="0"/>
        <v>643.03</v>
      </c>
      <c r="Q7" s="143">
        <v>643.03</v>
      </c>
    </row>
    <row r="8" spans="1:45" x14ac:dyDescent="0.3">
      <c r="A8" s="7" t="s">
        <v>123</v>
      </c>
      <c r="B8" s="25">
        <f>$Q8*0.15</f>
        <v>1181.4555</v>
      </c>
      <c r="C8" s="25"/>
      <c r="D8" s="25"/>
      <c r="E8" s="25">
        <f>$Q8*0.15</f>
        <v>1181.4555</v>
      </c>
      <c r="F8" s="25"/>
      <c r="G8" s="25"/>
      <c r="H8" s="25">
        <f>$Q8*0.15</f>
        <v>1181.4555</v>
      </c>
      <c r="I8" s="25"/>
      <c r="J8" s="25"/>
      <c r="K8" s="25">
        <f>$Q8*0.15</f>
        <v>1181.4555</v>
      </c>
      <c r="L8" s="25"/>
      <c r="M8" s="25"/>
      <c r="N8" s="25">
        <f>0.4*Q8</f>
        <v>3150.5480000000002</v>
      </c>
      <c r="O8" s="8">
        <f t="shared" si="0"/>
        <v>7876.3700000000008</v>
      </c>
      <c r="Q8" s="143">
        <v>7876.37</v>
      </c>
    </row>
    <row r="9" spans="1:45" x14ac:dyDescent="0.3">
      <c r="A9" s="9" t="s">
        <v>124</v>
      </c>
      <c r="B9" s="25">
        <f>$Q9*0.15</f>
        <v>1118.0775000000001</v>
      </c>
      <c r="C9" s="25"/>
      <c r="D9" s="25"/>
      <c r="E9" s="25">
        <f>$Q9*0.15</f>
        <v>1118.0775000000001</v>
      </c>
      <c r="F9" s="25"/>
      <c r="G9" s="25"/>
      <c r="H9" s="25">
        <f>$Q9*0.15</f>
        <v>1118.0775000000001</v>
      </c>
      <c r="I9" s="25"/>
      <c r="J9" s="25"/>
      <c r="K9" s="25">
        <f>$Q9*0.15</f>
        <v>1118.0775000000001</v>
      </c>
      <c r="L9" s="25"/>
      <c r="M9" s="25"/>
      <c r="N9" s="25">
        <f>0.4*Q9</f>
        <v>2981.5400000000004</v>
      </c>
      <c r="O9" s="8">
        <f t="shared" si="0"/>
        <v>7453.85</v>
      </c>
      <c r="Q9" s="143">
        <v>7453.85</v>
      </c>
    </row>
    <row r="10" spans="1:45" x14ac:dyDescent="0.3">
      <c r="A10" s="3" t="s">
        <v>129</v>
      </c>
      <c r="B10" s="25">
        <f>$Q10*0.15</f>
        <v>78.3</v>
      </c>
      <c r="C10" s="25"/>
      <c r="D10" s="25"/>
      <c r="E10" s="25">
        <f>$Q10*0.15</f>
        <v>78.3</v>
      </c>
      <c r="F10" s="25"/>
      <c r="G10" s="25"/>
      <c r="H10" s="25">
        <f>$Q10*0.15</f>
        <v>78.3</v>
      </c>
      <c r="I10" s="25"/>
      <c r="J10" s="25"/>
      <c r="K10" s="25">
        <f>$Q10*0.15</f>
        <v>78.3</v>
      </c>
      <c r="L10" s="25"/>
      <c r="M10" s="25"/>
      <c r="N10" s="25">
        <f>0.4*Q10</f>
        <v>208.8</v>
      </c>
      <c r="O10" s="8">
        <f t="shared" si="0"/>
        <v>522</v>
      </c>
      <c r="Q10" s="143">
        <v>522</v>
      </c>
    </row>
    <row r="11" spans="1:45" x14ac:dyDescent="0.3">
      <c r="A11" s="3" t="s">
        <v>59</v>
      </c>
      <c r="B11" s="25">
        <f>0.25*$Q$11</f>
        <v>644.5</v>
      </c>
      <c r="C11" s="25"/>
      <c r="D11" s="25"/>
      <c r="E11" s="25">
        <f>0.25*$Q$11</f>
        <v>644.5</v>
      </c>
      <c r="F11" s="25"/>
      <c r="G11" s="25"/>
      <c r="H11" s="25">
        <f>0.25*$Q$11</f>
        <v>644.5</v>
      </c>
      <c r="I11" s="25"/>
      <c r="J11" s="25"/>
      <c r="K11" s="25">
        <f>0.25*$Q$11</f>
        <v>644.5</v>
      </c>
      <c r="L11" s="25"/>
      <c r="M11" s="25"/>
      <c r="N11" s="25">
        <v>0</v>
      </c>
      <c r="O11" s="8">
        <f t="shared" si="0"/>
        <v>2578</v>
      </c>
      <c r="Q11" s="144">
        <v>2578</v>
      </c>
    </row>
    <row r="12" spans="1:45" x14ac:dyDescent="0.3">
      <c r="A12" s="9" t="s">
        <v>216</v>
      </c>
      <c r="B12" s="18">
        <v>0</v>
      </c>
      <c r="C12" s="18"/>
      <c r="D12" s="18"/>
      <c r="E12" s="18">
        <v>0</v>
      </c>
      <c r="F12" s="18"/>
      <c r="G12" s="18"/>
      <c r="H12" s="18">
        <v>0</v>
      </c>
      <c r="I12" s="18"/>
      <c r="J12" s="18"/>
      <c r="K12" s="25">
        <f>$Q12*0.1</f>
        <v>0</v>
      </c>
      <c r="L12" s="25"/>
      <c r="M12" s="25"/>
      <c r="N12" s="25">
        <f>0.45*Q12</f>
        <v>0</v>
      </c>
      <c r="O12" s="8">
        <f t="shared" si="0"/>
        <v>0</v>
      </c>
      <c r="Q12" s="143">
        <v>0</v>
      </c>
      <c r="R12" s="116" t="s">
        <v>15</v>
      </c>
    </row>
    <row r="13" spans="1:45" x14ac:dyDescent="0.3">
      <c r="A13" s="9" t="s">
        <v>127</v>
      </c>
      <c r="B13" s="25">
        <f>0.25*$Q$13</f>
        <v>86.25</v>
      </c>
      <c r="C13" s="25"/>
      <c r="D13" s="25"/>
      <c r="E13" s="25">
        <f>0.25*$Q$13</f>
        <v>86.25</v>
      </c>
      <c r="F13" s="25"/>
      <c r="G13" s="25"/>
      <c r="H13" s="25">
        <f>0.25*$Q$13</f>
        <v>86.25</v>
      </c>
      <c r="I13" s="25"/>
      <c r="J13" s="25"/>
      <c r="K13" s="25">
        <f>0.25*$Q$13</f>
        <v>86.25</v>
      </c>
      <c r="L13" s="25"/>
      <c r="M13" s="25"/>
      <c r="N13" s="25">
        <v>0</v>
      </c>
      <c r="O13" s="8">
        <f t="shared" si="0"/>
        <v>345</v>
      </c>
      <c r="Q13" s="143">
        <v>345</v>
      </c>
    </row>
    <row r="14" spans="1:45" x14ac:dyDescent="0.3">
      <c r="A14" s="9" t="s">
        <v>128</v>
      </c>
      <c r="B14" s="25">
        <v>0</v>
      </c>
      <c r="C14" s="25"/>
      <c r="D14" s="25"/>
      <c r="E14" s="25">
        <v>0</v>
      </c>
      <c r="F14" s="25"/>
      <c r="G14" s="25"/>
      <c r="H14" s="25">
        <v>0</v>
      </c>
      <c r="I14" s="25"/>
      <c r="J14" s="25"/>
      <c r="K14" s="25">
        <v>0</v>
      </c>
      <c r="L14" s="25"/>
      <c r="M14" s="25"/>
      <c r="N14" s="25">
        <v>0</v>
      </c>
      <c r="O14" s="8">
        <f t="shared" si="0"/>
        <v>0</v>
      </c>
      <c r="Q14" s="143">
        <v>0</v>
      </c>
    </row>
    <row r="15" spans="1:45" x14ac:dyDescent="0.3">
      <c r="A15" s="3" t="s">
        <v>130</v>
      </c>
      <c r="B15" s="25">
        <f>0.25*$Q$15</f>
        <v>0</v>
      </c>
      <c r="C15" s="25"/>
      <c r="D15" s="25"/>
      <c r="E15" s="25">
        <f>0.25*$Q$15</f>
        <v>0</v>
      </c>
      <c r="F15" s="25"/>
      <c r="G15" s="25"/>
      <c r="H15" s="25">
        <f>0.25*$Q$15</f>
        <v>0</v>
      </c>
      <c r="I15" s="25"/>
      <c r="J15" s="25"/>
      <c r="K15" s="25">
        <f>0.25*$Q$15</f>
        <v>0</v>
      </c>
      <c r="L15" s="25"/>
      <c r="M15" s="25"/>
      <c r="N15" s="25">
        <v>0</v>
      </c>
      <c r="O15" s="8">
        <f t="shared" si="0"/>
        <v>0</v>
      </c>
      <c r="Q15" s="145">
        <v>0</v>
      </c>
    </row>
    <row r="16" spans="1:45" s="21" customFormat="1" x14ac:dyDescent="0.3">
      <c r="A16" s="21" t="s">
        <v>158</v>
      </c>
      <c r="B16" s="22">
        <f>SUM(B5:B15)</f>
        <v>10607.817999999999</v>
      </c>
      <c r="C16" s="22">
        <v>7157</v>
      </c>
      <c r="D16" s="22">
        <f>B16-C16</f>
        <v>3450.8179999999993</v>
      </c>
      <c r="E16" s="22">
        <f>SUM(E5:E15)</f>
        <v>10607.817999999999</v>
      </c>
      <c r="F16" s="22">
        <v>7157</v>
      </c>
      <c r="G16" s="22">
        <f>E16-F16</f>
        <v>3450.8179999999993</v>
      </c>
      <c r="H16" s="22">
        <f>SUM(H5:H15)</f>
        <v>10607.817999999999</v>
      </c>
      <c r="I16" s="22">
        <v>7157</v>
      </c>
      <c r="J16" s="22">
        <f>H16-I16</f>
        <v>3450.8179999999993</v>
      </c>
      <c r="K16" s="22">
        <f>SUM(K5:K15)</f>
        <v>10607.817999999999</v>
      </c>
      <c r="L16" s="22">
        <v>7157</v>
      </c>
      <c r="M16" s="22">
        <f>K16-L16</f>
        <v>3450.8179999999993</v>
      </c>
      <c r="N16" s="22">
        <f>SUM(N5:N15)</f>
        <v>26338.848000000002</v>
      </c>
      <c r="O16" s="22">
        <f>SUM(O5:O15)</f>
        <v>68770.12</v>
      </c>
      <c r="P16" s="23"/>
      <c r="Q16" s="22">
        <f>SUM(Q5:Q15)</f>
        <v>68770.12</v>
      </c>
      <c r="R16" s="117"/>
      <c r="S16" s="131"/>
      <c r="T16" s="131"/>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row>
    <row r="17" spans="1:21" x14ac:dyDescent="0.3">
      <c r="A17" s="9"/>
      <c r="B17" s="139"/>
      <c r="C17" s="139"/>
      <c r="D17" s="139"/>
      <c r="E17" s="139"/>
      <c r="F17" s="139"/>
      <c r="G17" s="139"/>
      <c r="H17" s="139"/>
      <c r="I17" s="139"/>
      <c r="J17" s="139"/>
      <c r="K17" s="139"/>
      <c r="L17" s="139"/>
      <c r="M17" s="139"/>
      <c r="N17" s="139"/>
      <c r="O17" s="138"/>
      <c r="P17" s="134"/>
      <c r="Q17" s="8"/>
    </row>
    <row r="18" spans="1:21" x14ac:dyDescent="0.3">
      <c r="A18" s="27" t="s">
        <v>101</v>
      </c>
      <c r="B18" s="28">
        <f>0.05*714778.11</f>
        <v>35738.905500000001</v>
      </c>
      <c r="C18" s="28">
        <v>23826</v>
      </c>
      <c r="D18" s="22">
        <f>B18-C18</f>
        <v>11912.905500000001</v>
      </c>
      <c r="E18" s="28">
        <v>39117</v>
      </c>
      <c r="F18" s="28">
        <v>26078</v>
      </c>
      <c r="G18" s="22">
        <f>E18-F18</f>
        <v>13039</v>
      </c>
      <c r="H18" s="28">
        <v>43018</v>
      </c>
      <c r="I18" s="28">
        <v>28678</v>
      </c>
      <c r="J18" s="22">
        <f>H18-I18</f>
        <v>14340</v>
      </c>
      <c r="K18" s="28">
        <v>20259</v>
      </c>
      <c r="L18" s="28">
        <v>13506</v>
      </c>
      <c r="M18" s="22">
        <f>K18-L18</f>
        <v>6753</v>
      </c>
      <c r="N18" s="28">
        <v>0</v>
      </c>
      <c r="O18" s="29">
        <f>+B18+E18+H18+K18+N18</f>
        <v>138132.90549999999</v>
      </c>
      <c r="P18" s="43">
        <v>0.05</v>
      </c>
      <c r="Q18" s="29">
        <v>549368</v>
      </c>
    </row>
    <row r="19" spans="1:21" s="4" customFormat="1" x14ac:dyDescent="0.3">
      <c r="B19" s="18"/>
      <c r="C19" s="18"/>
      <c r="D19" s="18"/>
      <c r="E19" s="18"/>
      <c r="F19" s="18"/>
      <c r="G19" s="18"/>
      <c r="H19" s="18"/>
      <c r="I19" s="18"/>
      <c r="J19" s="18"/>
      <c r="K19" s="18"/>
      <c r="L19" s="18"/>
      <c r="M19" s="18"/>
      <c r="N19" s="18"/>
      <c r="O19" s="26"/>
      <c r="P19" s="43"/>
      <c r="Q19" s="26"/>
      <c r="R19" s="116"/>
      <c r="S19" s="130"/>
      <c r="T19" s="130"/>
    </row>
    <row r="20" spans="1:21" s="23" customFormat="1" ht="13.5" customHeight="1" x14ac:dyDescent="0.3">
      <c r="A20" s="23" t="s">
        <v>217</v>
      </c>
      <c r="B20" s="30">
        <f>+B18+B16</f>
        <v>46346.7235</v>
      </c>
      <c r="C20" s="30"/>
      <c r="D20" s="30"/>
      <c r="E20" s="30">
        <f>+E18+E16</f>
        <v>49724.817999999999</v>
      </c>
      <c r="F20" s="30"/>
      <c r="G20" s="30"/>
      <c r="H20" s="30">
        <f>+H18+H16</f>
        <v>53625.817999999999</v>
      </c>
      <c r="I20" s="30"/>
      <c r="J20" s="30"/>
      <c r="K20" s="30">
        <f>+K18+K16</f>
        <v>30866.817999999999</v>
      </c>
      <c r="L20" s="30"/>
      <c r="M20" s="30"/>
      <c r="N20" s="30">
        <f>+N18+N16</f>
        <v>26338.848000000002</v>
      </c>
      <c r="O20" s="30">
        <f>+O18+O16</f>
        <v>206903.02549999999</v>
      </c>
      <c r="Q20" s="30">
        <f>SUM(B20:N20)</f>
        <v>206903.02549999999</v>
      </c>
      <c r="R20" s="117"/>
      <c r="S20" s="131"/>
      <c r="T20" s="131"/>
    </row>
    <row r="22" spans="1:21" x14ac:dyDescent="0.3">
      <c r="S22" s="130">
        <f>SUM(S3:S21)</f>
        <v>0</v>
      </c>
      <c r="T22" s="130">
        <f>SUM(T3:T21)</f>
        <v>0</v>
      </c>
      <c r="U22" s="132">
        <f>T22-S22</f>
        <v>0</v>
      </c>
    </row>
    <row r="23" spans="1:21" x14ac:dyDescent="0.3">
      <c r="A23" s="6" t="s">
        <v>131</v>
      </c>
      <c r="R23" s="116" t="s">
        <v>15</v>
      </c>
    </row>
    <row r="24" spans="1:21" x14ac:dyDescent="0.3">
      <c r="A24" s="7" t="s">
        <v>1</v>
      </c>
      <c r="B24" s="25">
        <f t="shared" ref="B24:B32" si="1">$Q24*0.15</f>
        <v>5585.6295</v>
      </c>
      <c r="C24" s="25"/>
      <c r="D24" s="25"/>
      <c r="E24" s="25">
        <f t="shared" ref="E24:E32" si="2">$Q24*0.15</f>
        <v>5585.6295</v>
      </c>
      <c r="F24" s="25"/>
      <c r="G24" s="25"/>
      <c r="H24" s="25">
        <f t="shared" ref="H24:H32" si="3">$Q24*0.15</f>
        <v>5585.6295</v>
      </c>
      <c r="I24" s="25"/>
      <c r="J24" s="25"/>
      <c r="K24" s="25">
        <f>$Q24*0.15</f>
        <v>5585.6295</v>
      </c>
      <c r="L24" s="25"/>
      <c r="M24" s="25"/>
      <c r="N24" s="25">
        <f>0.4*Q24</f>
        <v>14895.012000000001</v>
      </c>
      <c r="O24" s="8">
        <f>SUM(B24:N24)</f>
        <v>37237.53</v>
      </c>
      <c r="P24" s="31" t="s">
        <v>225</v>
      </c>
      <c r="Q24" s="8">
        <v>37237.53</v>
      </c>
      <c r="R24" s="116">
        <v>-4040</v>
      </c>
    </row>
    <row r="25" spans="1:21" ht="19.5" customHeight="1" x14ac:dyDescent="0.3">
      <c r="A25" s="9" t="s">
        <v>213</v>
      </c>
      <c r="B25" s="25">
        <f t="shared" si="1"/>
        <v>204</v>
      </c>
      <c r="C25" s="25"/>
      <c r="D25" s="25"/>
      <c r="E25" s="25">
        <f t="shared" si="2"/>
        <v>204</v>
      </c>
      <c r="F25" s="25"/>
      <c r="G25" s="25"/>
      <c r="H25" s="25">
        <f t="shared" si="3"/>
        <v>204</v>
      </c>
      <c r="I25" s="25"/>
      <c r="J25" s="25"/>
      <c r="K25" s="25">
        <f t="shared" ref="K25:K32" si="4">$Q25*0.1</f>
        <v>136</v>
      </c>
      <c r="L25" s="25"/>
      <c r="M25" s="25"/>
      <c r="N25" s="25">
        <f t="shared" ref="N25:N32" si="5">0.45*Q25</f>
        <v>612</v>
      </c>
      <c r="O25" s="8">
        <f>SUM(B25:N25)</f>
        <v>1360</v>
      </c>
      <c r="P25" s="4" t="s">
        <v>15</v>
      </c>
      <c r="Q25" s="8">
        <v>1360</v>
      </c>
      <c r="R25" s="116">
        <f>Q24+R24</f>
        <v>33197.53</v>
      </c>
    </row>
    <row r="26" spans="1:21" ht="18.75" customHeight="1" x14ac:dyDescent="0.3">
      <c r="A26" s="7" t="s">
        <v>122</v>
      </c>
      <c r="B26" s="25">
        <f t="shared" si="1"/>
        <v>80.959500000000006</v>
      </c>
      <c r="C26" s="25"/>
      <c r="D26" s="25"/>
      <c r="E26" s="25">
        <f t="shared" si="2"/>
        <v>80.959500000000006</v>
      </c>
      <c r="F26" s="25"/>
      <c r="G26" s="25"/>
      <c r="H26" s="25">
        <f t="shared" si="3"/>
        <v>80.959500000000006</v>
      </c>
      <c r="I26" s="25"/>
      <c r="J26" s="25"/>
      <c r="K26" s="25">
        <f>$Q26*0.15</f>
        <v>80.959500000000006</v>
      </c>
      <c r="L26" s="25"/>
      <c r="M26" s="25"/>
      <c r="N26" s="25">
        <f>0.4*Q26</f>
        <v>215.89200000000002</v>
      </c>
      <c r="O26" s="8">
        <f t="shared" ref="O26:O32" si="6">SUM(B26:N26)</f>
        <v>539.73</v>
      </c>
      <c r="P26" s="114" t="s">
        <v>15</v>
      </c>
      <c r="Q26" s="8">
        <v>539.73</v>
      </c>
    </row>
    <row r="27" spans="1:21" x14ac:dyDescent="0.3">
      <c r="A27" s="7" t="s">
        <v>123</v>
      </c>
      <c r="B27" s="25">
        <f t="shared" si="1"/>
        <v>974.29050000000007</v>
      </c>
      <c r="C27" s="25"/>
      <c r="D27" s="25"/>
      <c r="E27" s="25">
        <f t="shared" si="2"/>
        <v>974.29050000000007</v>
      </c>
      <c r="F27" s="25"/>
      <c r="G27" s="25"/>
      <c r="H27" s="25">
        <f t="shared" si="3"/>
        <v>974.29050000000007</v>
      </c>
      <c r="I27" s="25"/>
      <c r="J27" s="25"/>
      <c r="K27" s="25">
        <f>$Q27*0.15</f>
        <v>974.29050000000007</v>
      </c>
      <c r="L27" s="25"/>
      <c r="M27" s="25"/>
      <c r="N27" s="25">
        <f>0.4*Q27</f>
        <v>2598.1080000000002</v>
      </c>
      <c r="O27" s="8">
        <f t="shared" si="6"/>
        <v>6495.27</v>
      </c>
      <c r="Q27" s="8">
        <v>6495.27</v>
      </c>
    </row>
    <row r="28" spans="1:21" x14ac:dyDescent="0.3">
      <c r="A28" s="7" t="s">
        <v>124</v>
      </c>
      <c r="B28" s="25">
        <f t="shared" si="1"/>
        <v>670.84649999999999</v>
      </c>
      <c r="C28" s="25"/>
      <c r="D28" s="25"/>
      <c r="E28" s="25">
        <f t="shared" si="2"/>
        <v>670.84649999999999</v>
      </c>
      <c r="F28" s="25"/>
      <c r="G28" s="25"/>
      <c r="H28" s="25">
        <f t="shared" si="3"/>
        <v>670.84649999999999</v>
      </c>
      <c r="I28" s="25"/>
      <c r="J28" s="25"/>
      <c r="K28" s="25">
        <f>$Q28*0.15</f>
        <v>670.84649999999999</v>
      </c>
      <c r="L28" s="25"/>
      <c r="M28" s="25"/>
      <c r="N28" s="25">
        <f>0.4*Q28</f>
        <v>1788.9240000000002</v>
      </c>
      <c r="O28" s="8">
        <f t="shared" si="6"/>
        <v>4472.3100000000004</v>
      </c>
      <c r="Q28" s="8">
        <v>4472.3100000000004</v>
      </c>
    </row>
    <row r="29" spans="1:21" x14ac:dyDescent="0.3">
      <c r="A29" s="7" t="s">
        <v>57</v>
      </c>
      <c r="B29" s="25">
        <f t="shared" si="1"/>
        <v>-15.75</v>
      </c>
      <c r="C29" s="25"/>
      <c r="D29" s="25"/>
      <c r="E29" s="25">
        <f t="shared" si="2"/>
        <v>-15.75</v>
      </c>
      <c r="F29" s="25"/>
      <c r="G29" s="25"/>
      <c r="H29" s="25">
        <f t="shared" si="3"/>
        <v>-15.75</v>
      </c>
      <c r="I29" s="25"/>
      <c r="J29" s="25"/>
      <c r="K29" s="25">
        <f t="shared" si="4"/>
        <v>-10.5</v>
      </c>
      <c r="L29" s="25"/>
      <c r="M29" s="25"/>
      <c r="N29" s="25">
        <f t="shared" si="5"/>
        <v>-47.25</v>
      </c>
      <c r="O29" s="8">
        <f t="shared" si="6"/>
        <v>-105</v>
      </c>
      <c r="Q29" s="8">
        <v>-105</v>
      </c>
    </row>
    <row r="30" spans="1:21" x14ac:dyDescent="0.3">
      <c r="A30" s="9" t="s">
        <v>132</v>
      </c>
      <c r="B30" s="25">
        <f t="shared" si="1"/>
        <v>0</v>
      </c>
      <c r="C30" s="25"/>
      <c r="D30" s="25"/>
      <c r="E30" s="25">
        <f t="shared" si="2"/>
        <v>0</v>
      </c>
      <c r="F30" s="25"/>
      <c r="G30" s="25"/>
      <c r="H30" s="25">
        <f t="shared" si="3"/>
        <v>0</v>
      </c>
      <c r="I30" s="25"/>
      <c r="J30" s="25"/>
      <c r="K30" s="25">
        <f t="shared" si="4"/>
        <v>0</v>
      </c>
      <c r="L30" s="25"/>
      <c r="M30" s="25"/>
      <c r="N30" s="25">
        <f t="shared" si="5"/>
        <v>0</v>
      </c>
      <c r="O30" s="8">
        <f t="shared" si="6"/>
        <v>0</v>
      </c>
      <c r="Q30" s="8">
        <v>0</v>
      </c>
    </row>
    <row r="31" spans="1:21" x14ac:dyDescent="0.3">
      <c r="A31" s="7" t="s">
        <v>7</v>
      </c>
      <c r="B31" s="25">
        <f t="shared" si="1"/>
        <v>273.59550000000002</v>
      </c>
      <c r="C31" s="25"/>
      <c r="D31" s="25"/>
      <c r="E31" s="25">
        <f t="shared" si="2"/>
        <v>273.59550000000002</v>
      </c>
      <c r="F31" s="25"/>
      <c r="G31" s="25"/>
      <c r="H31" s="25">
        <f t="shared" si="3"/>
        <v>273.59550000000002</v>
      </c>
      <c r="I31" s="25"/>
      <c r="J31" s="25"/>
      <c r="K31" s="25">
        <f t="shared" si="4"/>
        <v>182.39700000000002</v>
      </c>
      <c r="L31" s="25"/>
      <c r="M31" s="25"/>
      <c r="N31" s="25">
        <f t="shared" si="5"/>
        <v>820.78650000000005</v>
      </c>
      <c r="O31" s="8">
        <f t="shared" si="6"/>
        <v>1823.9700000000003</v>
      </c>
      <c r="Q31" s="8">
        <v>1823.97</v>
      </c>
      <c r="R31" s="133" t="s">
        <v>224</v>
      </c>
    </row>
    <row r="32" spans="1:21" x14ac:dyDescent="0.3">
      <c r="A32" s="7" t="s">
        <v>133</v>
      </c>
      <c r="B32" s="129">
        <f t="shared" si="1"/>
        <v>406.86449999999996</v>
      </c>
      <c r="C32" s="129"/>
      <c r="D32" s="129"/>
      <c r="E32" s="129">
        <f t="shared" si="2"/>
        <v>406.86449999999996</v>
      </c>
      <c r="F32" s="129"/>
      <c r="G32" s="129"/>
      <c r="H32" s="129">
        <f t="shared" si="3"/>
        <v>406.86449999999996</v>
      </c>
      <c r="I32" s="129"/>
      <c r="J32" s="129"/>
      <c r="K32" s="129">
        <f t="shared" si="4"/>
        <v>271.24299999999999</v>
      </c>
      <c r="L32" s="129"/>
      <c r="M32" s="129"/>
      <c r="N32" s="129">
        <f t="shared" si="5"/>
        <v>1220.5934999999999</v>
      </c>
      <c r="O32" s="24">
        <f t="shared" si="6"/>
        <v>2712.43</v>
      </c>
      <c r="Q32" s="24">
        <v>2712.43</v>
      </c>
      <c r="R32" s="133" t="s">
        <v>223</v>
      </c>
    </row>
    <row r="33" spans="1:45" s="27" customFormat="1" ht="28.8" x14ac:dyDescent="0.3">
      <c r="A33" s="32" t="s">
        <v>136</v>
      </c>
      <c r="B33" s="33">
        <f>SUM(B24:B32)</f>
        <v>8180.4359999999997</v>
      </c>
      <c r="C33" s="33">
        <v>5282</v>
      </c>
      <c r="D33" s="22">
        <f>B33-C33</f>
        <v>2898.4359999999997</v>
      </c>
      <c r="E33" s="33">
        <f>SUM(E24:E32)</f>
        <v>8180.4359999999997</v>
      </c>
      <c r="F33" s="33">
        <v>5282</v>
      </c>
      <c r="G33" s="22">
        <f>E33-F33</f>
        <v>2898.4359999999997</v>
      </c>
      <c r="H33" s="33">
        <f>SUM(H24:H32)</f>
        <v>8180.4359999999997</v>
      </c>
      <c r="I33" s="33">
        <v>5282</v>
      </c>
      <c r="J33" s="22">
        <f>H33-I33</f>
        <v>2898.4359999999997</v>
      </c>
      <c r="K33" s="33">
        <f>SUM(K24:K32)</f>
        <v>7890.866</v>
      </c>
      <c r="L33" s="33">
        <v>5145</v>
      </c>
      <c r="M33" s="22">
        <f>K33-L33</f>
        <v>2745.866</v>
      </c>
      <c r="N33" s="33">
        <f>SUM(N24:N32)</f>
        <v>22104.065999999999</v>
      </c>
      <c r="O33" s="33">
        <f>SUM(O24:O32)</f>
        <v>54536.24</v>
      </c>
      <c r="P33" s="4"/>
      <c r="Q33" s="33">
        <f>SUM(Q24:Q32)</f>
        <v>54536.24</v>
      </c>
      <c r="R33" s="116"/>
      <c r="S33" s="130"/>
      <c r="T33" s="130"/>
      <c r="U33" s="4"/>
      <c r="V33" s="4"/>
      <c r="W33" s="4"/>
      <c r="X33" s="4"/>
      <c r="Y33" s="4"/>
      <c r="Z33" s="4"/>
      <c r="AA33" s="4"/>
      <c r="AB33" s="4"/>
      <c r="AC33" s="4"/>
      <c r="AD33" s="4"/>
      <c r="AE33" s="4"/>
      <c r="AF33" s="4"/>
      <c r="AG33" s="4"/>
      <c r="AH33" s="4"/>
      <c r="AI33" s="4"/>
      <c r="AJ33" s="4"/>
      <c r="AK33" s="4"/>
      <c r="AL33" s="4"/>
      <c r="AM33" s="4"/>
      <c r="AN33" s="4"/>
      <c r="AO33" s="4"/>
      <c r="AP33" s="4"/>
      <c r="AQ33" s="4"/>
      <c r="AR33" s="4"/>
      <c r="AS33" s="4"/>
    </row>
    <row r="34" spans="1:45" x14ac:dyDescent="0.3">
      <c r="B34" s="140"/>
      <c r="C34" s="140"/>
      <c r="D34" s="140"/>
      <c r="E34" s="140"/>
      <c r="F34" s="140"/>
      <c r="G34" s="140"/>
      <c r="H34" s="140"/>
      <c r="I34" s="140"/>
      <c r="J34" s="140"/>
      <c r="K34" s="140"/>
      <c r="L34" s="140"/>
      <c r="M34" s="140"/>
      <c r="N34" s="140"/>
      <c r="O34" s="138"/>
      <c r="P34" s="134"/>
    </row>
    <row r="35" spans="1:45" x14ac:dyDescent="0.3">
      <c r="A35" s="6" t="s">
        <v>134</v>
      </c>
    </row>
    <row r="36" spans="1:45" x14ac:dyDescent="0.3">
      <c r="A36" s="9" t="s">
        <v>1</v>
      </c>
      <c r="B36" s="25">
        <f>$Q36*0.15</f>
        <v>5829.7859999999991</v>
      </c>
      <c r="C36" s="25"/>
      <c r="D36" s="25"/>
      <c r="E36" s="25">
        <f>$Q36*0.15</f>
        <v>5829.7859999999991</v>
      </c>
      <c r="F36" s="25"/>
      <c r="G36" s="25"/>
      <c r="H36" s="25">
        <f>$Q36*0.15</f>
        <v>5829.7859999999991</v>
      </c>
      <c r="I36" s="25"/>
      <c r="J36" s="25"/>
      <c r="K36" s="25">
        <f>$Q36*0.15</f>
        <v>5829.7859999999991</v>
      </c>
      <c r="L36" s="25"/>
      <c r="M36" s="25"/>
      <c r="N36" s="25">
        <f>0.4*Q36</f>
        <v>15546.096</v>
      </c>
      <c r="O36" s="8">
        <f>SUM(B36:N36)</f>
        <v>38865.24</v>
      </c>
      <c r="P36" s="4" t="s">
        <v>225</v>
      </c>
      <c r="Q36" s="8">
        <v>38865.24</v>
      </c>
    </row>
    <row r="37" spans="1:45" ht="15.75" customHeight="1" x14ac:dyDescent="0.3">
      <c r="A37" s="9" t="s">
        <v>121</v>
      </c>
      <c r="B37" s="10">
        <v>0</v>
      </c>
      <c r="C37" s="10"/>
      <c r="D37" s="10"/>
      <c r="E37" s="10">
        <v>0</v>
      </c>
      <c r="F37" s="10"/>
      <c r="G37" s="10"/>
      <c r="H37" s="10">
        <v>0</v>
      </c>
      <c r="I37" s="10"/>
      <c r="J37" s="10"/>
      <c r="K37" s="10">
        <v>0</v>
      </c>
      <c r="L37" s="10"/>
      <c r="M37" s="10"/>
      <c r="N37" s="25">
        <f>0.55*Q37</f>
        <v>0</v>
      </c>
      <c r="O37" s="8">
        <f>SUM(B37:N37)</f>
        <v>0</v>
      </c>
      <c r="Q37" s="8">
        <v>0</v>
      </c>
    </row>
    <row r="38" spans="1:45" x14ac:dyDescent="0.3">
      <c r="A38" s="9" t="s">
        <v>122</v>
      </c>
      <c r="B38" s="25">
        <f>$Q38*0.15</f>
        <v>83.635500000000008</v>
      </c>
      <c r="C38" s="25"/>
      <c r="D38" s="25"/>
      <c r="E38" s="25">
        <f>$Q38*0.15</f>
        <v>83.635500000000008</v>
      </c>
      <c r="F38" s="25"/>
      <c r="G38" s="25"/>
      <c r="H38" s="25">
        <f>$Q38*0.15</f>
        <v>83.635500000000008</v>
      </c>
      <c r="I38" s="25"/>
      <c r="J38" s="25"/>
      <c r="K38" s="25">
        <f>$Q38*0.15</f>
        <v>83.635500000000008</v>
      </c>
      <c r="L38" s="25"/>
      <c r="M38" s="25"/>
      <c r="N38" s="25">
        <f>0.4*Q38</f>
        <v>223.02800000000002</v>
      </c>
      <c r="O38" s="8">
        <f>SUM(B38:N38)</f>
        <v>557.57000000000005</v>
      </c>
      <c r="Q38" s="8">
        <v>557.57000000000005</v>
      </c>
    </row>
    <row r="39" spans="1:45" x14ac:dyDescent="0.3">
      <c r="A39" s="9" t="s">
        <v>123</v>
      </c>
      <c r="B39" s="25">
        <f>$Q39*0.15</f>
        <v>1006.4984999999999</v>
      </c>
      <c r="C39" s="25"/>
      <c r="D39" s="25"/>
      <c r="E39" s="25">
        <f>$Q39*0.15</f>
        <v>1006.4984999999999</v>
      </c>
      <c r="F39" s="25"/>
      <c r="G39" s="25"/>
      <c r="H39" s="25">
        <f>$Q39*0.15</f>
        <v>1006.4984999999999</v>
      </c>
      <c r="I39" s="25"/>
      <c r="J39" s="25"/>
      <c r="K39" s="25">
        <f>$Q39*0.15</f>
        <v>1006.4984999999999</v>
      </c>
      <c r="L39" s="25"/>
      <c r="M39" s="25"/>
      <c r="N39" s="25">
        <f>0.4*Q39</f>
        <v>2683.9960000000001</v>
      </c>
      <c r="O39" s="8">
        <f>SUM(B39:N39)</f>
        <v>6709.99</v>
      </c>
      <c r="Q39" s="8">
        <v>6709.99</v>
      </c>
    </row>
    <row r="40" spans="1:45" x14ac:dyDescent="0.3">
      <c r="A40" s="9" t="s">
        <v>124</v>
      </c>
      <c r="B40" s="129">
        <f>$Q40*0.15</f>
        <v>926.6099999999999</v>
      </c>
      <c r="C40" s="129"/>
      <c r="D40" s="129"/>
      <c r="E40" s="129">
        <f>$Q40*0.15</f>
        <v>926.6099999999999</v>
      </c>
      <c r="F40" s="129"/>
      <c r="G40" s="129"/>
      <c r="H40" s="129">
        <f>$Q40*0.15</f>
        <v>926.6099999999999</v>
      </c>
      <c r="I40" s="129"/>
      <c r="J40" s="129"/>
      <c r="K40" s="129">
        <f>$Q40*0.15</f>
        <v>926.6099999999999</v>
      </c>
      <c r="L40" s="129"/>
      <c r="M40" s="129"/>
      <c r="N40" s="129">
        <f>0.4*Q40</f>
        <v>2470.96</v>
      </c>
      <c r="O40" s="24">
        <f>SUM(B40:N40)</f>
        <v>6177.4</v>
      </c>
      <c r="Q40" s="24">
        <v>6177.4</v>
      </c>
    </row>
    <row r="41" spans="1:45" s="35" customFormat="1" x14ac:dyDescent="0.3">
      <c r="A41" s="32" t="s">
        <v>137</v>
      </c>
      <c r="B41" s="33">
        <f>SUM(B36:B40)</f>
        <v>7846.5299999999988</v>
      </c>
      <c r="C41" s="33">
        <v>5730</v>
      </c>
      <c r="D41" s="22">
        <f>B41-C41</f>
        <v>2116.5299999999988</v>
      </c>
      <c r="E41" s="34">
        <f>SUM(E36:E40)</f>
        <v>7846.5299999999988</v>
      </c>
      <c r="F41" s="34">
        <v>5730</v>
      </c>
      <c r="G41" s="22">
        <f>E41-F41</f>
        <v>2116.5299999999988</v>
      </c>
      <c r="H41" s="34">
        <f>SUM(H36:H40)</f>
        <v>7846.5299999999988</v>
      </c>
      <c r="I41" s="34">
        <v>5730</v>
      </c>
      <c r="J41" s="22">
        <f>H41-I41</f>
        <v>2116.5299999999988</v>
      </c>
      <c r="K41" s="34">
        <f>SUM(K36:K40)</f>
        <v>7846.5299999999988</v>
      </c>
      <c r="L41" s="34">
        <v>5730</v>
      </c>
      <c r="M41" s="22">
        <f>K41-L41</f>
        <v>2116.5299999999988</v>
      </c>
      <c r="N41" s="34">
        <f>SUM(N36:N40)</f>
        <v>20924.079999999998</v>
      </c>
      <c r="O41" s="34">
        <f>SUM(O36:O40)</f>
        <v>52310.2</v>
      </c>
      <c r="P41" s="4"/>
      <c r="Q41" s="34">
        <f>SUM(Q36:Q40)</f>
        <v>52310.2</v>
      </c>
      <c r="R41" s="116"/>
      <c r="S41" s="130"/>
      <c r="T41" s="130"/>
      <c r="U41" s="4"/>
      <c r="V41" s="4"/>
      <c r="W41" s="4"/>
      <c r="X41" s="4"/>
      <c r="Y41" s="4"/>
      <c r="Z41" s="4"/>
      <c r="AA41" s="4"/>
      <c r="AB41" s="4"/>
      <c r="AC41" s="4"/>
      <c r="AD41" s="4"/>
      <c r="AE41" s="4"/>
      <c r="AF41" s="4"/>
      <c r="AG41" s="4"/>
      <c r="AH41" s="4"/>
      <c r="AI41" s="4"/>
      <c r="AJ41" s="4"/>
      <c r="AK41" s="4"/>
      <c r="AL41" s="4"/>
      <c r="AM41" s="4"/>
      <c r="AN41" s="4"/>
      <c r="AO41" s="4"/>
      <c r="AP41" s="4"/>
      <c r="AQ41" s="4"/>
      <c r="AR41" s="4"/>
      <c r="AS41" s="4"/>
    </row>
    <row r="43" spans="1:45" x14ac:dyDescent="0.3">
      <c r="A43" s="6" t="s">
        <v>138</v>
      </c>
    </row>
    <row r="44" spans="1:45" x14ac:dyDescent="0.3">
      <c r="A44" s="9" t="s">
        <v>1</v>
      </c>
      <c r="B44" s="25">
        <f>$Q44*0.15</f>
        <v>3147.4874999999997</v>
      </c>
      <c r="C44" s="25"/>
      <c r="D44" s="25"/>
      <c r="E44" s="25">
        <f>$Q44*0.15</f>
        <v>3147.4874999999997</v>
      </c>
      <c r="F44" s="25"/>
      <c r="G44" s="25"/>
      <c r="H44" s="25">
        <f>$Q44*0.15</f>
        <v>3147.4874999999997</v>
      </c>
      <c r="I44" s="25"/>
      <c r="J44" s="25"/>
      <c r="K44" s="25">
        <f>$Q44*0.15</f>
        <v>3147.4874999999997</v>
      </c>
      <c r="L44" s="25"/>
      <c r="M44" s="25"/>
      <c r="N44" s="25">
        <f>0.4*Q44</f>
        <v>8393.3000000000011</v>
      </c>
      <c r="O44" s="8">
        <f t="shared" ref="O44:O53" si="7">SUM(B44:N44)</f>
        <v>20983.25</v>
      </c>
      <c r="P44" s="4" t="s">
        <v>225</v>
      </c>
      <c r="Q44" s="8">
        <v>20983.25</v>
      </c>
    </row>
    <row r="45" spans="1:45" ht="19.5" customHeight="1" x14ac:dyDescent="0.3">
      <c r="A45" s="9" t="s">
        <v>121</v>
      </c>
      <c r="B45" s="10">
        <v>0</v>
      </c>
      <c r="C45" s="10"/>
      <c r="D45" s="10"/>
      <c r="E45" s="10">
        <v>0</v>
      </c>
      <c r="F45" s="10"/>
      <c r="G45" s="10"/>
      <c r="H45" s="10">
        <v>0</v>
      </c>
      <c r="I45" s="10"/>
      <c r="J45" s="10"/>
      <c r="K45" s="10">
        <v>0</v>
      </c>
      <c r="L45" s="10"/>
      <c r="M45" s="10"/>
      <c r="N45" s="25">
        <f>0.55*Q45</f>
        <v>0</v>
      </c>
      <c r="O45" s="8">
        <f t="shared" si="7"/>
        <v>0</v>
      </c>
      <c r="P45" s="4" t="s">
        <v>15</v>
      </c>
      <c r="Q45" s="8">
        <v>0</v>
      </c>
    </row>
    <row r="46" spans="1:45" x14ac:dyDescent="0.3">
      <c r="A46" s="9" t="s">
        <v>122</v>
      </c>
      <c r="B46" s="25">
        <f t="shared" ref="B46:B53" si="8">$Q46*0.15</f>
        <v>43.087499999999999</v>
      </c>
      <c r="C46" s="25"/>
      <c r="D46" s="25"/>
      <c r="E46" s="25">
        <f t="shared" ref="E46:E53" si="9">$Q46*0.15</f>
        <v>43.087499999999999</v>
      </c>
      <c r="F46" s="25"/>
      <c r="G46" s="25"/>
      <c r="H46" s="25">
        <f t="shared" ref="H46:H53" si="10">$Q46*0.15</f>
        <v>43.087499999999999</v>
      </c>
      <c r="I46" s="25"/>
      <c r="J46" s="25"/>
      <c r="K46" s="25">
        <f t="shared" ref="K46:K53" si="11">$Q46*0.15</f>
        <v>43.087499999999999</v>
      </c>
      <c r="L46" s="25"/>
      <c r="M46" s="25"/>
      <c r="N46" s="25">
        <f>0.4*Q46</f>
        <v>114.9</v>
      </c>
      <c r="O46" s="8">
        <f t="shared" si="7"/>
        <v>287.25</v>
      </c>
      <c r="Q46" s="8">
        <v>287.25</v>
      </c>
    </row>
    <row r="47" spans="1:45" x14ac:dyDescent="0.3">
      <c r="A47" s="9" t="s">
        <v>123</v>
      </c>
      <c r="B47" s="25">
        <f t="shared" si="8"/>
        <v>518.53499999999997</v>
      </c>
      <c r="C47" s="25"/>
      <c r="D47" s="25"/>
      <c r="E47" s="25">
        <f t="shared" si="9"/>
        <v>518.53499999999997</v>
      </c>
      <c r="F47" s="25"/>
      <c r="G47" s="25"/>
      <c r="H47" s="25">
        <f t="shared" si="10"/>
        <v>518.53499999999997</v>
      </c>
      <c r="I47" s="25"/>
      <c r="J47" s="25"/>
      <c r="K47" s="25">
        <f t="shared" si="11"/>
        <v>518.53499999999997</v>
      </c>
      <c r="L47" s="25"/>
      <c r="M47" s="25"/>
      <c r="N47" s="25">
        <f>0.4*Q47</f>
        <v>1382.7600000000002</v>
      </c>
      <c r="O47" s="8">
        <f t="shared" si="7"/>
        <v>3456.9</v>
      </c>
      <c r="Q47" s="8">
        <v>3456.9</v>
      </c>
    </row>
    <row r="48" spans="1:45" x14ac:dyDescent="0.3">
      <c r="A48" s="9" t="s">
        <v>124</v>
      </c>
      <c r="B48" s="25">
        <f t="shared" si="8"/>
        <v>367.04849999999993</v>
      </c>
      <c r="C48" s="25"/>
      <c r="D48" s="25"/>
      <c r="E48" s="25">
        <f t="shared" si="9"/>
        <v>367.04849999999993</v>
      </c>
      <c r="F48" s="25"/>
      <c r="G48" s="25"/>
      <c r="H48" s="25">
        <f t="shared" si="10"/>
        <v>367.04849999999993</v>
      </c>
      <c r="I48" s="25"/>
      <c r="J48" s="25"/>
      <c r="K48" s="25">
        <f t="shared" si="11"/>
        <v>367.04849999999993</v>
      </c>
      <c r="L48" s="25"/>
      <c r="M48" s="25"/>
      <c r="N48" s="25">
        <f>0.4*Q48</f>
        <v>978.79599999999994</v>
      </c>
      <c r="O48" s="8">
        <f t="shared" si="7"/>
        <v>2446.9899999999998</v>
      </c>
      <c r="Q48" s="8">
        <v>2446.9899999999998</v>
      </c>
    </row>
    <row r="49" spans="1:45" x14ac:dyDescent="0.3">
      <c r="A49" s="9" t="s">
        <v>228</v>
      </c>
      <c r="B49" s="25">
        <f t="shared" si="8"/>
        <v>1279.2</v>
      </c>
      <c r="C49" s="25"/>
      <c r="D49" s="25"/>
      <c r="E49" s="25">
        <f t="shared" si="9"/>
        <v>1279.2</v>
      </c>
      <c r="F49" s="25"/>
      <c r="G49" s="25"/>
      <c r="H49" s="25">
        <f t="shared" si="10"/>
        <v>1279.2</v>
      </c>
      <c r="I49" s="25"/>
      <c r="J49" s="25"/>
      <c r="K49" s="25">
        <f t="shared" si="11"/>
        <v>1279.2</v>
      </c>
      <c r="L49" s="25"/>
      <c r="M49" s="25"/>
      <c r="N49" s="25">
        <v>0</v>
      </c>
      <c r="O49" s="8">
        <f t="shared" si="7"/>
        <v>5116.8</v>
      </c>
      <c r="Q49" s="8">
        <v>8528</v>
      </c>
    </row>
    <row r="50" spans="1:45" x14ac:dyDescent="0.3">
      <c r="A50" s="9" t="s">
        <v>12</v>
      </c>
      <c r="B50" s="25">
        <f t="shared" si="8"/>
        <v>308.22000000000003</v>
      </c>
      <c r="C50" s="25"/>
      <c r="D50" s="25"/>
      <c r="E50" s="25">
        <f t="shared" si="9"/>
        <v>308.22000000000003</v>
      </c>
      <c r="F50" s="25"/>
      <c r="G50" s="25"/>
      <c r="H50" s="25">
        <f t="shared" si="10"/>
        <v>308.22000000000003</v>
      </c>
      <c r="I50" s="25"/>
      <c r="J50" s="25"/>
      <c r="K50" s="25">
        <f t="shared" si="11"/>
        <v>308.22000000000003</v>
      </c>
      <c r="L50" s="25"/>
      <c r="M50" s="25"/>
      <c r="N50" s="25">
        <f>0.4*Q50</f>
        <v>821.92000000000007</v>
      </c>
      <c r="O50" s="8">
        <f t="shared" si="7"/>
        <v>2054.8000000000002</v>
      </c>
      <c r="Q50" s="8">
        <v>2054.8000000000002</v>
      </c>
    </row>
    <row r="51" spans="1:45" x14ac:dyDescent="0.3">
      <c r="A51" s="9" t="s">
        <v>13</v>
      </c>
      <c r="B51" s="25">
        <f t="shared" si="8"/>
        <v>0</v>
      </c>
      <c r="C51" s="25"/>
      <c r="D51" s="25"/>
      <c r="E51" s="25">
        <f t="shared" si="9"/>
        <v>0</v>
      </c>
      <c r="F51" s="25"/>
      <c r="G51" s="25"/>
      <c r="H51" s="25">
        <f t="shared" si="10"/>
        <v>0</v>
      </c>
      <c r="I51" s="25"/>
      <c r="J51" s="25"/>
      <c r="K51" s="25">
        <f t="shared" si="11"/>
        <v>0</v>
      </c>
      <c r="L51" s="25"/>
      <c r="M51" s="25"/>
      <c r="N51" s="25">
        <f>0.4*Q51</f>
        <v>0</v>
      </c>
      <c r="O51" s="8">
        <f t="shared" si="7"/>
        <v>0</v>
      </c>
      <c r="Q51" s="8">
        <v>0</v>
      </c>
    </row>
    <row r="52" spans="1:45" x14ac:dyDescent="0.3">
      <c r="A52" s="9" t="s">
        <v>64</v>
      </c>
      <c r="B52" s="25">
        <f t="shared" si="8"/>
        <v>3284.8905</v>
      </c>
      <c r="C52" s="25"/>
      <c r="D52" s="25"/>
      <c r="E52" s="25">
        <f t="shared" si="9"/>
        <v>3284.8905</v>
      </c>
      <c r="F52" s="25"/>
      <c r="G52" s="25"/>
      <c r="H52" s="25">
        <f t="shared" si="10"/>
        <v>3284.8905</v>
      </c>
      <c r="I52" s="25"/>
      <c r="J52" s="25"/>
      <c r="K52" s="25">
        <f t="shared" si="11"/>
        <v>3284.8905</v>
      </c>
      <c r="L52" s="25"/>
      <c r="M52" s="25"/>
      <c r="N52" s="25">
        <f>0.4*Q52</f>
        <v>8759.7080000000005</v>
      </c>
      <c r="O52" s="8">
        <f t="shared" si="7"/>
        <v>21899.27</v>
      </c>
      <c r="P52" s="4" t="s">
        <v>15</v>
      </c>
      <c r="Q52" s="8">
        <v>21899.27</v>
      </c>
    </row>
    <row r="53" spans="1:45" x14ac:dyDescent="0.3">
      <c r="A53" s="9" t="s">
        <v>48</v>
      </c>
      <c r="B53" s="25">
        <f t="shared" si="8"/>
        <v>441.27300000000002</v>
      </c>
      <c r="C53" s="25"/>
      <c r="D53" s="25"/>
      <c r="E53" s="25">
        <f t="shared" si="9"/>
        <v>441.27300000000002</v>
      </c>
      <c r="F53" s="25"/>
      <c r="G53" s="25"/>
      <c r="H53" s="25">
        <f t="shared" si="10"/>
        <v>441.27300000000002</v>
      </c>
      <c r="I53" s="25"/>
      <c r="J53" s="25"/>
      <c r="K53" s="25">
        <f t="shared" si="11"/>
        <v>441.27300000000002</v>
      </c>
      <c r="L53" s="25"/>
      <c r="M53" s="25"/>
      <c r="N53" s="25">
        <f>0.4*Q53</f>
        <v>1176.7280000000001</v>
      </c>
      <c r="O53" s="8">
        <f t="shared" si="7"/>
        <v>2941.82</v>
      </c>
      <c r="P53" s="4" t="s">
        <v>15</v>
      </c>
      <c r="Q53" s="8">
        <v>2941.82</v>
      </c>
    </row>
    <row r="54" spans="1:45" s="27" customFormat="1" x14ac:dyDescent="0.3">
      <c r="A54" s="32" t="s">
        <v>138</v>
      </c>
      <c r="B54" s="36">
        <f>SUM(B44:B53)</f>
        <v>9389.7419999999984</v>
      </c>
      <c r="C54" s="36">
        <v>6455</v>
      </c>
      <c r="D54" s="22">
        <f>B54-C54</f>
        <v>2934.7419999999984</v>
      </c>
      <c r="E54" s="36">
        <f>SUM(E44:E53)</f>
        <v>9389.7419999999984</v>
      </c>
      <c r="F54" s="36">
        <v>6455</v>
      </c>
      <c r="G54" s="22">
        <f>E54-F54</f>
        <v>2934.7419999999984</v>
      </c>
      <c r="H54" s="36">
        <f>SUM(H44:H53)</f>
        <v>9389.7419999999984</v>
      </c>
      <c r="I54" s="36">
        <v>6455</v>
      </c>
      <c r="J54" s="22">
        <f>H54-I54</f>
        <v>2934.7419999999984</v>
      </c>
      <c r="K54" s="36">
        <f>SUM(K44:K53)</f>
        <v>9389.7419999999984</v>
      </c>
      <c r="L54" s="36">
        <v>6455</v>
      </c>
      <c r="M54" s="22">
        <f>K54-L54</f>
        <v>2934.7419999999984</v>
      </c>
      <c r="N54" s="36">
        <f>SUM(N44:N53)</f>
        <v>21628.112000000001</v>
      </c>
      <c r="O54" s="36">
        <f>SUM(O44:O53)</f>
        <v>59187.079999999994</v>
      </c>
      <c r="P54" s="4"/>
      <c r="Q54" s="36">
        <f>SUM(Q44:Q53)</f>
        <v>62598.280000000006</v>
      </c>
      <c r="R54" s="116"/>
      <c r="S54" s="130"/>
      <c r="T54" s="130"/>
      <c r="U54" s="4"/>
      <c r="V54" s="4"/>
      <c r="W54" s="4"/>
      <c r="X54" s="4"/>
      <c r="Y54" s="4"/>
      <c r="Z54" s="4"/>
      <c r="AA54" s="4"/>
      <c r="AB54" s="4"/>
      <c r="AC54" s="4"/>
      <c r="AD54" s="4"/>
      <c r="AE54" s="4"/>
      <c r="AF54" s="4"/>
      <c r="AG54" s="4"/>
      <c r="AH54" s="4"/>
      <c r="AI54" s="4"/>
      <c r="AJ54" s="4"/>
      <c r="AK54" s="4"/>
      <c r="AL54" s="4"/>
      <c r="AM54" s="4"/>
      <c r="AN54" s="4"/>
      <c r="AO54" s="4"/>
      <c r="AP54" s="4"/>
      <c r="AQ54" s="4"/>
      <c r="AR54" s="4"/>
      <c r="AS54" s="4"/>
    </row>
    <row r="55" spans="1:45" s="4" customFormat="1" x14ac:dyDescent="0.3">
      <c r="A55" s="146"/>
      <c r="B55" s="147"/>
      <c r="C55" s="147"/>
      <c r="D55" s="147"/>
      <c r="E55" s="147"/>
      <c r="F55" s="147"/>
      <c r="G55" s="147"/>
      <c r="H55" s="147"/>
      <c r="I55" s="147"/>
      <c r="J55" s="147"/>
      <c r="K55" s="147"/>
      <c r="L55" s="147"/>
      <c r="M55" s="147"/>
      <c r="N55" s="147"/>
      <c r="O55" s="147"/>
      <c r="Q55" s="147"/>
      <c r="R55" s="116"/>
      <c r="S55" s="130"/>
      <c r="T55" s="130"/>
    </row>
    <row r="56" spans="1:45" s="27" customFormat="1" x14ac:dyDescent="0.3">
      <c r="A56" s="32" t="s">
        <v>229</v>
      </c>
      <c r="B56" s="34">
        <f>+B54+B41+B33+B16</f>
        <v>36024.525999999998</v>
      </c>
      <c r="C56" s="34"/>
      <c r="D56" s="34">
        <f t="shared" ref="D56:M56" si="12">+D54+D41+D33+D16</f>
        <v>11400.525999999996</v>
      </c>
      <c r="E56" s="34">
        <f t="shared" si="12"/>
        <v>36024.525999999998</v>
      </c>
      <c r="F56" s="34">
        <f t="shared" si="12"/>
        <v>24624</v>
      </c>
      <c r="G56" s="34">
        <f t="shared" si="12"/>
        <v>11400.525999999996</v>
      </c>
      <c r="H56" s="34">
        <f t="shared" si="12"/>
        <v>36024.525999999998</v>
      </c>
      <c r="I56" s="34">
        <f t="shared" si="12"/>
        <v>24624</v>
      </c>
      <c r="J56" s="34">
        <f t="shared" si="12"/>
        <v>11400.525999999996</v>
      </c>
      <c r="K56" s="34">
        <f t="shared" si="12"/>
        <v>35734.955999999998</v>
      </c>
      <c r="L56" s="34">
        <f t="shared" si="12"/>
        <v>24487</v>
      </c>
      <c r="M56" s="34">
        <f t="shared" si="12"/>
        <v>11247.955999999996</v>
      </c>
      <c r="N56" s="34">
        <f>+N54+N41+N33+N16</f>
        <v>90995.106</v>
      </c>
      <c r="O56" s="34">
        <f>+O54+O41+O33+O16</f>
        <v>234803.63999999998</v>
      </c>
      <c r="P56" s="4"/>
      <c r="Q56" s="34"/>
      <c r="R56" s="116"/>
      <c r="S56" s="130"/>
      <c r="T56" s="130"/>
      <c r="U56" s="4"/>
      <c r="V56" s="4"/>
      <c r="W56" s="4"/>
      <c r="X56" s="4"/>
      <c r="Y56" s="4"/>
      <c r="Z56" s="4"/>
      <c r="AA56" s="4"/>
      <c r="AB56" s="4"/>
      <c r="AC56" s="4"/>
      <c r="AD56" s="4"/>
      <c r="AE56" s="4"/>
      <c r="AF56" s="4"/>
      <c r="AG56" s="4"/>
      <c r="AH56" s="4"/>
      <c r="AI56" s="4"/>
      <c r="AJ56" s="4"/>
      <c r="AK56" s="4"/>
      <c r="AL56" s="4"/>
      <c r="AM56" s="4"/>
      <c r="AN56" s="4"/>
      <c r="AO56" s="4"/>
      <c r="AP56" s="4"/>
      <c r="AQ56" s="4"/>
      <c r="AR56" s="4"/>
      <c r="AS56" s="4"/>
    </row>
    <row r="57" spans="1:45" s="27" customFormat="1" x14ac:dyDescent="0.3">
      <c r="A57" s="148" t="s">
        <v>101</v>
      </c>
      <c r="B57" s="149">
        <f>+B18</f>
        <v>35738.905500000001</v>
      </c>
      <c r="C57" s="149"/>
      <c r="D57" s="149">
        <v>11913</v>
      </c>
      <c r="E57" s="149">
        <f>+E18</f>
        <v>39117</v>
      </c>
      <c r="F57" s="149"/>
      <c r="G57" s="149"/>
      <c r="H57" s="149">
        <f>+H18</f>
        <v>43018</v>
      </c>
      <c r="I57" s="149"/>
      <c r="J57" s="149"/>
      <c r="K57" s="149">
        <f>+K18</f>
        <v>20259</v>
      </c>
      <c r="L57" s="149"/>
      <c r="M57" s="149"/>
      <c r="N57" s="149">
        <f>+N18</f>
        <v>0</v>
      </c>
      <c r="O57" s="149">
        <f>+O18</f>
        <v>138132.90549999999</v>
      </c>
      <c r="P57" s="4"/>
      <c r="Q57" s="34"/>
      <c r="R57" s="116"/>
      <c r="S57" s="130"/>
      <c r="T57" s="130"/>
      <c r="U57" s="4"/>
      <c r="V57" s="4"/>
      <c r="W57" s="4"/>
      <c r="X57" s="4"/>
      <c r="Y57" s="4"/>
      <c r="Z57" s="4"/>
      <c r="AA57" s="4"/>
      <c r="AB57" s="4"/>
      <c r="AC57" s="4"/>
      <c r="AD57" s="4"/>
      <c r="AE57" s="4"/>
      <c r="AF57" s="4"/>
      <c r="AG57" s="4"/>
      <c r="AH57" s="4"/>
      <c r="AI57" s="4"/>
      <c r="AJ57" s="4"/>
      <c r="AK57" s="4"/>
      <c r="AL57" s="4"/>
      <c r="AM57" s="4"/>
      <c r="AN57" s="4"/>
      <c r="AO57" s="4"/>
      <c r="AP57" s="4"/>
      <c r="AQ57" s="4"/>
      <c r="AR57" s="4"/>
      <c r="AS57" s="4"/>
    </row>
    <row r="58" spans="1:45" x14ac:dyDescent="0.3">
      <c r="B58" s="140">
        <f>SUM(B56:B57)</f>
        <v>71763.431500000006</v>
      </c>
      <c r="C58" s="140"/>
      <c r="D58" s="140"/>
      <c r="E58" s="140">
        <f>SUM(E56:E57)</f>
        <v>75141.525999999998</v>
      </c>
      <c r="F58" s="140"/>
      <c r="G58" s="140"/>
      <c r="H58" s="140">
        <f>SUM(H56:H57)</f>
        <v>79042.525999999998</v>
      </c>
      <c r="I58" s="140"/>
      <c r="J58" s="140"/>
      <c r="K58" s="140">
        <f>SUM(K56:K57)</f>
        <v>55993.955999999998</v>
      </c>
      <c r="L58" s="140"/>
      <c r="M58" s="140"/>
      <c r="N58" s="140">
        <f>SUM(N56:N57)</f>
        <v>90995.106</v>
      </c>
      <c r="O58" s="140">
        <f>SUM(O56:O57)</f>
        <v>372936.54550000001</v>
      </c>
      <c r="P58" s="134"/>
    </row>
    <row r="60" spans="1:45" x14ac:dyDescent="0.3">
      <c r="A60" s="3" t="s">
        <v>248</v>
      </c>
      <c r="B60" s="3">
        <v>77</v>
      </c>
      <c r="E60" s="3">
        <v>77</v>
      </c>
      <c r="H60" s="3">
        <v>77</v>
      </c>
      <c r="K60" s="3">
        <v>77</v>
      </c>
      <c r="M60" s="3">
        <v>77</v>
      </c>
      <c r="O60" s="3">
        <f>SUM(B60:N60)</f>
        <v>385</v>
      </c>
    </row>
    <row r="61" spans="1:45" x14ac:dyDescent="0.3">
      <c r="A61" s="3" t="s">
        <v>249</v>
      </c>
      <c r="K61" s="141">
        <v>1170.72</v>
      </c>
      <c r="L61" s="141"/>
      <c r="M61" s="141">
        <v>1170.72</v>
      </c>
      <c r="O61" s="3">
        <f>SUM(B61:N61)</f>
        <v>2341.44</v>
      </c>
      <c r="Q61" s="3">
        <f>SUM(O60:O61)</f>
        <v>2726.44</v>
      </c>
    </row>
  </sheetData>
  <pageMargins left="0.7" right="0.7" top="0.75" bottom="0.75" header="0.3" footer="0.3"/>
  <pageSetup orientation="portrait" r:id="rId1"/>
  <headerFooter>
    <oddHeader>&amp;CCMO Expense
Actual Monthly Expense</oddHeader>
    <oddFooter>&amp;L&amp;D&amp;R&amp;P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RowHeight="13.2" x14ac:dyDescent="0.25"/>
  <cols>
    <col min="1" max="1" width="1.109375" customWidth="1"/>
    <col min="2" max="2" width="64.44140625" customWidth="1"/>
    <col min="3" max="3" width="1.5546875" customWidth="1"/>
    <col min="4" max="4" width="5.5546875" customWidth="1"/>
    <col min="5" max="6" width="16" customWidth="1"/>
  </cols>
  <sheetData>
    <row r="1" spans="2:6" x14ac:dyDescent="0.25">
      <c r="B1" s="164" t="s">
        <v>259</v>
      </c>
      <c r="C1" s="164"/>
      <c r="D1" s="168"/>
      <c r="E1" s="168"/>
      <c r="F1" s="168"/>
    </row>
    <row r="2" spans="2:6" x14ac:dyDescent="0.25">
      <c r="B2" s="164" t="s">
        <v>260</v>
      </c>
      <c r="C2" s="164"/>
      <c r="D2" s="168"/>
      <c r="E2" s="168"/>
      <c r="F2" s="168"/>
    </row>
    <row r="3" spans="2:6" x14ac:dyDescent="0.25">
      <c r="B3" s="165"/>
      <c r="C3" s="165"/>
      <c r="D3" s="169"/>
      <c r="E3" s="169"/>
      <c r="F3" s="169"/>
    </row>
    <row r="4" spans="2:6" ht="52.8" x14ac:dyDescent="0.25">
      <c r="B4" s="165" t="s">
        <v>261</v>
      </c>
      <c r="C4" s="165"/>
      <c r="D4" s="169"/>
      <c r="E4" s="169"/>
      <c r="F4" s="169"/>
    </row>
    <row r="5" spans="2:6" x14ac:dyDescent="0.25">
      <c r="B5" s="165"/>
      <c r="C5" s="165"/>
      <c r="D5" s="169"/>
      <c r="E5" s="169"/>
      <c r="F5" s="169"/>
    </row>
    <row r="6" spans="2:6" x14ac:dyDescent="0.25">
      <c r="B6" s="164" t="s">
        <v>262</v>
      </c>
      <c r="C6" s="164"/>
      <c r="D6" s="168"/>
      <c r="E6" s="168" t="s">
        <v>263</v>
      </c>
      <c r="F6" s="168" t="s">
        <v>264</v>
      </c>
    </row>
    <row r="7" spans="2:6" ht="13.8" thickBot="1" x14ac:dyDescent="0.3">
      <c r="B7" s="165"/>
      <c r="C7" s="165"/>
      <c r="D7" s="169"/>
      <c r="E7" s="169"/>
      <c r="F7" s="169"/>
    </row>
    <row r="8" spans="2:6" ht="40.200000000000003" thickBot="1" x14ac:dyDescent="0.3">
      <c r="B8" s="166" t="s">
        <v>265</v>
      </c>
      <c r="C8" s="167"/>
      <c r="D8" s="170"/>
      <c r="E8" s="170">
        <v>51</v>
      </c>
      <c r="F8" s="171" t="s">
        <v>266</v>
      </c>
    </row>
    <row r="9" spans="2:6" x14ac:dyDescent="0.25">
      <c r="B9" s="165"/>
      <c r="C9" s="165"/>
      <c r="D9" s="169"/>
      <c r="E9" s="169"/>
      <c r="F9" s="169"/>
    </row>
    <row r="10" spans="2:6" x14ac:dyDescent="0.25">
      <c r="B10" s="165"/>
      <c r="C10" s="165"/>
      <c r="D10" s="169"/>
      <c r="E10" s="169"/>
      <c r="F10" s="16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5"/>
  <sheetViews>
    <sheetView workbookViewId="0">
      <pane xSplit="1" ySplit="4" topLeftCell="C128" activePane="bottomRight" state="frozen"/>
      <selection pane="topRight" activeCell="B1" sqref="B1"/>
      <selection pane="bottomLeft" activeCell="A7" sqref="A7"/>
      <selection pane="bottomRight" activeCell="P142" sqref="P142"/>
    </sheetView>
  </sheetViews>
  <sheetFormatPr defaultRowHeight="14.4" x14ac:dyDescent="0.3"/>
  <cols>
    <col min="1" max="1" width="27.5546875" style="57" customWidth="1"/>
    <col min="2" max="2" width="12.5546875" style="57" hidden="1" customWidth="1"/>
    <col min="3" max="3" width="12.5546875" style="57" customWidth="1"/>
    <col min="4" max="13" width="12.5546875" style="57" hidden="1" customWidth="1"/>
    <col min="14" max="14" width="12.33203125" style="57" customWidth="1"/>
    <col min="15" max="15" width="7.33203125" style="268" customWidth="1"/>
    <col min="16" max="16" width="12.6640625" style="57" customWidth="1"/>
    <col min="17" max="17" width="15.44140625" style="57" customWidth="1"/>
    <col min="18" max="18" width="29" customWidth="1"/>
  </cols>
  <sheetData>
    <row r="1" spans="1:18" x14ac:dyDescent="0.3">
      <c r="A1" s="52"/>
      <c r="B1" s="52"/>
      <c r="C1" s="52"/>
      <c r="D1" s="52"/>
      <c r="E1" s="52"/>
      <c r="F1" s="52"/>
      <c r="G1" s="52"/>
      <c r="H1" s="52"/>
      <c r="I1" s="52"/>
      <c r="J1" s="52"/>
      <c r="K1" s="52"/>
      <c r="L1" s="52"/>
      <c r="M1" s="52"/>
      <c r="N1" s="52"/>
      <c r="O1" s="307"/>
      <c r="P1" s="308" t="s">
        <v>15</v>
      </c>
      <c r="Q1" s="308" t="s">
        <v>15</v>
      </c>
      <c r="R1" s="52"/>
    </row>
    <row r="2" spans="1:18" x14ac:dyDescent="0.3">
      <c r="A2" s="312" t="s">
        <v>495</v>
      </c>
      <c r="B2" s="309"/>
      <c r="C2" s="309"/>
      <c r="D2" s="309"/>
      <c r="E2" s="309"/>
      <c r="F2" s="309"/>
      <c r="G2" s="309"/>
      <c r="H2" s="309"/>
      <c r="I2" s="309"/>
      <c r="J2" s="309"/>
      <c r="K2" s="309"/>
      <c r="L2" s="309"/>
      <c r="M2" s="309"/>
      <c r="N2" s="310" t="s">
        <v>15</v>
      </c>
      <c r="O2" s="310" t="s">
        <v>15</v>
      </c>
      <c r="P2" s="567">
        <f>'budget entry'!C3</f>
        <v>8937</v>
      </c>
      <c r="Q2" s="567">
        <v>8481</v>
      </c>
      <c r="R2" s="564" t="s">
        <v>546</v>
      </c>
    </row>
    <row r="3" spans="1:18" x14ac:dyDescent="0.3">
      <c r="A3" s="312" t="s">
        <v>533</v>
      </c>
      <c r="B3" s="312"/>
      <c r="C3" s="312"/>
      <c r="D3" s="312"/>
      <c r="E3" s="312"/>
      <c r="F3" s="312"/>
      <c r="G3" s="312"/>
      <c r="H3" s="312"/>
      <c r="I3" s="312"/>
      <c r="J3" s="312"/>
      <c r="K3" s="312"/>
      <c r="L3" s="312"/>
      <c r="M3" s="312"/>
      <c r="N3" s="312" t="s">
        <v>15</v>
      </c>
      <c r="O3" s="313" t="s">
        <v>15</v>
      </c>
      <c r="P3" s="567">
        <f>'budget entry'!C4</f>
        <v>455</v>
      </c>
      <c r="Q3" s="567">
        <v>445</v>
      </c>
      <c r="R3" s="564" t="s">
        <v>458</v>
      </c>
    </row>
    <row r="4" spans="1:18" ht="29.4" customHeight="1" thickBot="1" x14ac:dyDescent="0.35">
      <c r="A4" s="444" t="s">
        <v>745</v>
      </c>
      <c r="B4" s="410" t="s">
        <v>608</v>
      </c>
      <c r="C4" s="410" t="s">
        <v>609</v>
      </c>
      <c r="D4" s="410" t="s">
        <v>610</v>
      </c>
      <c r="E4" s="410" t="s">
        <v>611</v>
      </c>
      <c r="F4" s="410" t="s">
        <v>550</v>
      </c>
      <c r="G4" s="410" t="s">
        <v>551</v>
      </c>
      <c r="H4" s="410" t="s">
        <v>552</v>
      </c>
      <c r="I4" s="410" t="s">
        <v>553</v>
      </c>
      <c r="J4" s="410" t="s">
        <v>560</v>
      </c>
      <c r="K4" s="410" t="s">
        <v>561</v>
      </c>
      <c r="L4" s="410" t="s">
        <v>559</v>
      </c>
      <c r="M4" s="410" t="s">
        <v>557</v>
      </c>
      <c r="N4" s="445" t="s">
        <v>494</v>
      </c>
      <c r="O4" s="446">
        <f>2/12</f>
        <v>0.16666666666666666</v>
      </c>
      <c r="P4" s="447" t="s">
        <v>676</v>
      </c>
      <c r="Q4" s="448" t="s">
        <v>674</v>
      </c>
      <c r="R4" s="410" t="s">
        <v>319</v>
      </c>
    </row>
    <row r="5" spans="1:18" ht="15" thickBot="1" x14ac:dyDescent="0.35">
      <c r="A5" s="260" t="s">
        <v>459</v>
      </c>
      <c r="B5" s="270" t="s">
        <v>15</v>
      </c>
      <c r="C5" s="270"/>
      <c r="D5" s="270"/>
      <c r="E5" s="270"/>
      <c r="F5" s="270"/>
      <c r="G5" s="270"/>
      <c r="H5" s="270"/>
      <c r="I5" s="270"/>
      <c r="J5" s="270"/>
      <c r="K5" s="270"/>
      <c r="L5" s="270"/>
      <c r="M5" s="270"/>
      <c r="N5" s="270"/>
      <c r="O5" s="342"/>
      <c r="Q5" s="354"/>
    </row>
    <row r="6" spans="1:18" x14ac:dyDescent="0.3">
      <c r="A6" s="78" t="s">
        <v>18</v>
      </c>
      <c r="B6" s="79">
        <v>332928.21000000002</v>
      </c>
      <c r="C6" s="79">
        <v>332928.21000000002</v>
      </c>
      <c r="D6" s="79"/>
      <c r="E6" s="79"/>
      <c r="F6" s="79"/>
      <c r="G6" s="79"/>
      <c r="H6" s="79"/>
      <c r="J6" s="79"/>
      <c r="K6" s="79"/>
      <c r="L6" s="79"/>
      <c r="M6" s="79"/>
      <c r="N6" s="79">
        <f>SUM(B6:M6)</f>
        <v>665856.42000000004</v>
      </c>
      <c r="O6" s="286">
        <f t="shared" ref="O6:O17" si="0">N6/P6</f>
        <v>0.1637485401473317</v>
      </c>
      <c r="P6" s="79">
        <f>'budget entry'!C6</f>
        <v>4066335</v>
      </c>
      <c r="Q6" s="79">
        <v>3774260</v>
      </c>
    </row>
    <row r="7" spans="1:18" x14ac:dyDescent="0.3">
      <c r="A7" s="78" t="s">
        <v>22</v>
      </c>
      <c r="B7" s="77"/>
      <c r="C7" s="77">
        <v>10248.799999999999</v>
      </c>
      <c r="D7" s="77"/>
      <c r="E7" s="77"/>
      <c r="F7" s="77"/>
      <c r="G7" s="77"/>
      <c r="H7" s="77"/>
      <c r="I7" s="77"/>
      <c r="J7" s="77"/>
      <c r="K7" s="77"/>
      <c r="L7" s="77"/>
      <c r="M7" s="77"/>
      <c r="N7" s="79">
        <f t="shared" ref="N7:N21" si="1">SUM(B7:M7)</f>
        <v>10248.799999999999</v>
      </c>
      <c r="O7" s="286">
        <f t="shared" si="0"/>
        <v>9.0099340659340652E-2</v>
      </c>
      <c r="P7" s="77">
        <f>'budget entry'!C7</f>
        <v>113750</v>
      </c>
      <c r="Q7" s="77">
        <v>111250</v>
      </c>
      <c r="R7" s="172" t="s">
        <v>15</v>
      </c>
    </row>
    <row r="8" spans="1:18" x14ac:dyDescent="0.3">
      <c r="A8" s="78" t="s">
        <v>433</v>
      </c>
      <c r="B8" s="77">
        <v>18049.86</v>
      </c>
      <c r="C8" s="77">
        <v>17147.29</v>
      </c>
      <c r="D8" s="77"/>
      <c r="E8" s="77"/>
      <c r="F8" s="77"/>
      <c r="G8" s="77"/>
      <c r="H8" s="77"/>
      <c r="I8" s="77"/>
      <c r="J8" s="77"/>
      <c r="K8" s="77"/>
      <c r="L8" s="77"/>
      <c r="M8" s="77"/>
      <c r="N8" s="79">
        <f t="shared" si="1"/>
        <v>35197.15</v>
      </c>
      <c r="O8" s="286"/>
      <c r="P8" s="77">
        <f>'budget entry'!C24</f>
        <v>220220</v>
      </c>
      <c r="Q8" s="77">
        <v>178000</v>
      </c>
      <c r="R8" s="172"/>
    </row>
    <row r="9" spans="1:18" x14ac:dyDescent="0.3">
      <c r="A9" s="78" t="s">
        <v>73</v>
      </c>
      <c r="B9" s="77"/>
      <c r="C9" s="77">
        <v>989.04</v>
      </c>
      <c r="D9" s="77"/>
      <c r="E9" s="77"/>
      <c r="F9" s="77"/>
      <c r="G9" s="77"/>
      <c r="H9" s="77"/>
      <c r="I9" s="77"/>
      <c r="J9" s="77"/>
      <c r="K9" s="77"/>
      <c r="L9" s="77"/>
      <c r="M9" s="77"/>
      <c r="N9" s="79">
        <f t="shared" si="1"/>
        <v>989.04</v>
      </c>
      <c r="O9" s="286">
        <f t="shared" si="0"/>
        <v>9.8903999999999992E-2</v>
      </c>
      <c r="P9" s="77">
        <f>'budget entry'!C9</f>
        <v>10000</v>
      </c>
      <c r="Q9" s="77">
        <v>14000</v>
      </c>
    </row>
    <row r="10" spans="1:18" x14ac:dyDescent="0.3">
      <c r="A10" s="78" t="s">
        <v>490</v>
      </c>
      <c r="B10" s="77"/>
      <c r="C10" s="77"/>
      <c r="D10" s="77"/>
      <c r="E10" s="77"/>
      <c r="F10" s="77"/>
      <c r="G10" s="77"/>
      <c r="H10" s="77"/>
      <c r="I10" s="77"/>
      <c r="J10" s="77"/>
      <c r="K10" s="77"/>
      <c r="L10" s="77"/>
      <c r="M10" s="77"/>
      <c r="N10" s="79">
        <f t="shared" si="1"/>
        <v>0</v>
      </c>
      <c r="O10" s="286">
        <f t="shared" si="0"/>
        <v>0</v>
      </c>
      <c r="P10" s="77">
        <f>'budget entry'!C12</f>
        <v>17300</v>
      </c>
      <c r="Q10" s="77">
        <v>12110</v>
      </c>
    </row>
    <row r="11" spans="1:18" x14ac:dyDescent="0.3">
      <c r="A11" s="78" t="s">
        <v>735</v>
      </c>
      <c r="B11" s="77">
        <v>164</v>
      </c>
      <c r="C11" s="77">
        <v>2761</v>
      </c>
      <c r="D11" s="77"/>
      <c r="E11" s="77"/>
      <c r="F11" s="77"/>
      <c r="G11" s="77"/>
      <c r="H11" s="77"/>
      <c r="I11" s="77"/>
      <c r="J11" s="77"/>
      <c r="K11" s="77"/>
      <c r="L11" s="77"/>
      <c r="M11" s="77"/>
      <c r="N11" s="79">
        <f t="shared" si="1"/>
        <v>2925</v>
      </c>
      <c r="O11" s="286">
        <f t="shared" si="0"/>
        <v>8.3571428571428574E-2</v>
      </c>
      <c r="P11" s="77">
        <f>'budget entry'!C16</f>
        <v>35000</v>
      </c>
      <c r="Q11" s="77">
        <v>35000</v>
      </c>
    </row>
    <row r="12" spans="1:18" x14ac:dyDescent="0.3">
      <c r="A12" s="78" t="s">
        <v>17</v>
      </c>
      <c r="B12" s="77">
        <v>1435</v>
      </c>
      <c r="C12" s="77">
        <f>36916.64+3894.75</f>
        <v>40811.39</v>
      </c>
      <c r="D12" s="77"/>
      <c r="E12" s="77"/>
      <c r="F12" s="77"/>
      <c r="G12" s="77"/>
      <c r="H12" s="77"/>
      <c r="I12" s="79"/>
      <c r="J12" s="77"/>
      <c r="K12" s="77"/>
      <c r="L12" s="77"/>
      <c r="M12" s="77"/>
      <c r="N12" s="79">
        <f t="shared" si="1"/>
        <v>42246.39</v>
      </c>
      <c r="O12" s="286">
        <f t="shared" si="0"/>
        <v>0.93880866666666662</v>
      </c>
      <c r="P12" s="77">
        <f>'budget entry'!C19</f>
        <v>45000</v>
      </c>
      <c r="Q12" s="77">
        <v>43000</v>
      </c>
    </row>
    <row r="13" spans="1:18" x14ac:dyDescent="0.3">
      <c r="A13" s="78" t="s">
        <v>535</v>
      </c>
      <c r="B13" s="77">
        <v>475</v>
      </c>
      <c r="C13" s="77">
        <v>16957</v>
      </c>
      <c r="D13" s="77"/>
      <c r="E13" s="77"/>
      <c r="F13" s="77"/>
      <c r="G13" s="77"/>
      <c r="H13" s="77"/>
      <c r="I13" s="77"/>
      <c r="J13" s="77"/>
      <c r="K13" s="77"/>
      <c r="L13" s="77"/>
      <c r="M13" s="77"/>
      <c r="N13" s="79">
        <f t="shared" si="1"/>
        <v>17432</v>
      </c>
      <c r="O13" s="286">
        <f t="shared" si="0"/>
        <v>0.87160000000000004</v>
      </c>
      <c r="P13" s="77">
        <f>'budget entry'!C17</f>
        <v>20000</v>
      </c>
      <c r="Q13" s="77">
        <v>20000</v>
      </c>
      <c r="R13" s="373"/>
    </row>
    <row r="14" spans="1:18" x14ac:dyDescent="0.3">
      <c r="A14" s="78" t="s">
        <v>103</v>
      </c>
      <c r="B14" s="77">
        <v>72</v>
      </c>
      <c r="C14" s="77"/>
      <c r="D14" s="77"/>
      <c r="E14" s="77"/>
      <c r="F14" s="77"/>
      <c r="G14" s="77"/>
      <c r="H14" s="77"/>
      <c r="I14" s="77"/>
      <c r="J14" s="77"/>
      <c r="K14" s="77"/>
      <c r="L14" s="77"/>
      <c r="M14" s="77"/>
      <c r="N14" s="79">
        <f t="shared" si="1"/>
        <v>72</v>
      </c>
      <c r="O14" s="286">
        <f t="shared" si="0"/>
        <v>9.5999999999999992E-3</v>
      </c>
      <c r="P14" s="77">
        <f>'budget entry'!C18</f>
        <v>7500</v>
      </c>
      <c r="Q14" s="77">
        <v>5855</v>
      </c>
      <c r="R14" s="373"/>
    </row>
    <row r="15" spans="1:18" x14ac:dyDescent="0.3">
      <c r="A15" s="78" t="s">
        <v>146</v>
      </c>
      <c r="B15" s="77">
        <v>0</v>
      </c>
      <c r="C15" s="77">
        <v>1402.75</v>
      </c>
      <c r="D15" s="77"/>
      <c r="E15" s="77"/>
      <c r="F15" s="77"/>
      <c r="G15" s="77"/>
      <c r="H15" s="77"/>
      <c r="I15" s="77"/>
      <c r="J15" s="77"/>
      <c r="K15" s="77"/>
      <c r="L15" s="77"/>
      <c r="M15" s="77"/>
      <c r="N15" s="79">
        <f t="shared" si="1"/>
        <v>1402.75</v>
      </c>
      <c r="O15" s="286">
        <f t="shared" si="0"/>
        <v>5.1009090909090907E-2</v>
      </c>
      <c r="P15" s="77">
        <f>'budget entry'!C20</f>
        <v>27500</v>
      </c>
      <c r="Q15" s="77">
        <v>27500</v>
      </c>
      <c r="R15" s="373"/>
    </row>
    <row r="16" spans="1:18" x14ac:dyDescent="0.3">
      <c r="A16" s="78" t="s">
        <v>63</v>
      </c>
      <c r="B16" s="77">
        <v>2841</v>
      </c>
      <c r="C16" s="77">
        <v>3784.81</v>
      </c>
      <c r="D16" s="77"/>
      <c r="E16" s="77"/>
      <c r="F16" s="77"/>
      <c r="G16" s="77"/>
      <c r="H16" s="77"/>
      <c r="I16" s="77"/>
      <c r="J16" s="77"/>
      <c r="K16" s="77"/>
      <c r="L16" s="77"/>
      <c r="M16" s="77"/>
      <c r="N16" s="79">
        <f t="shared" si="1"/>
        <v>6625.8099999999995</v>
      </c>
      <c r="O16" s="286">
        <f t="shared" si="0"/>
        <v>0.2650324</v>
      </c>
      <c r="P16" s="77">
        <f>'budget entry'!C23</f>
        <v>25000</v>
      </c>
      <c r="Q16" s="77">
        <v>20000</v>
      </c>
      <c r="R16" s="373"/>
    </row>
    <row r="17" spans="1:18" x14ac:dyDescent="0.3">
      <c r="A17" s="78" t="s">
        <v>25</v>
      </c>
      <c r="B17" s="77">
        <v>6574.08</v>
      </c>
      <c r="C17" s="77">
        <v>5619.95</v>
      </c>
      <c r="D17" s="77"/>
      <c r="E17" s="77"/>
      <c r="F17" s="77"/>
      <c r="G17" s="77"/>
      <c r="H17" s="77"/>
      <c r="I17" s="77"/>
      <c r="J17" s="77"/>
      <c r="K17" s="77"/>
      <c r="L17" s="77"/>
      <c r="M17" s="77"/>
      <c r="N17" s="79">
        <f t="shared" si="1"/>
        <v>12194.029999999999</v>
      </c>
      <c r="O17" s="286">
        <f t="shared" si="0"/>
        <v>0.26167446351931328</v>
      </c>
      <c r="P17" s="77">
        <f>+'budget entry'!C22+'budget entry'!C21</f>
        <v>46600</v>
      </c>
      <c r="Q17" s="77">
        <v>19190</v>
      </c>
      <c r="R17" s="492"/>
    </row>
    <row r="18" spans="1:18" ht="12" customHeight="1" x14ac:dyDescent="0.3">
      <c r="A18" s="78" t="s">
        <v>461</v>
      </c>
      <c r="B18" s="77"/>
      <c r="C18" s="77"/>
      <c r="D18" s="77"/>
      <c r="E18" s="77"/>
      <c r="F18" s="77"/>
      <c r="G18" s="77"/>
      <c r="H18" s="77"/>
      <c r="I18" s="77"/>
      <c r="J18" s="77"/>
      <c r="K18" s="77"/>
      <c r="L18" s="77"/>
      <c r="M18" s="77"/>
      <c r="N18" s="79">
        <f t="shared" si="1"/>
        <v>0</v>
      </c>
      <c r="O18" s="286" t="s">
        <v>15</v>
      </c>
      <c r="P18" s="77">
        <f>'budget entry'!B25</f>
        <v>0</v>
      </c>
      <c r="Q18" s="77">
        <v>0</v>
      </c>
      <c r="R18" s="373"/>
    </row>
    <row r="19" spans="1:18" x14ac:dyDescent="0.3">
      <c r="A19" s="78" t="s">
        <v>212</v>
      </c>
      <c r="B19" s="77"/>
      <c r="C19" s="77"/>
      <c r="D19" s="77"/>
      <c r="E19" s="77"/>
      <c r="F19" s="77"/>
      <c r="G19" s="77"/>
      <c r="H19" s="77"/>
      <c r="I19" s="77"/>
      <c r="J19" s="77"/>
      <c r="K19" s="77"/>
      <c r="L19" s="77"/>
      <c r="M19" s="77"/>
      <c r="N19" s="79">
        <f t="shared" si="1"/>
        <v>0</v>
      </c>
      <c r="O19" s="286">
        <f>N19/P19</f>
        <v>0</v>
      </c>
      <c r="P19" s="77">
        <f>+'budget entry'!C11</f>
        <v>9000</v>
      </c>
      <c r="Q19" s="77">
        <v>8675</v>
      </c>
      <c r="R19" s="373"/>
    </row>
    <row r="20" spans="1:18" x14ac:dyDescent="0.3">
      <c r="A20" s="78" t="s">
        <v>715</v>
      </c>
      <c r="B20" s="77"/>
      <c r="C20" s="77"/>
      <c r="D20" s="77"/>
      <c r="E20" s="77"/>
      <c r="F20" s="77"/>
      <c r="G20" s="77"/>
      <c r="H20" s="77"/>
      <c r="I20" s="77"/>
      <c r="J20" s="77"/>
      <c r="K20" s="77"/>
      <c r="L20" s="77"/>
      <c r="M20" s="77"/>
      <c r="N20" s="79">
        <f t="shared" si="1"/>
        <v>0</v>
      </c>
      <c r="O20" s="286"/>
      <c r="P20" s="77">
        <f>+'budget entry'!C27</f>
        <v>8378</v>
      </c>
      <c r="Q20" s="77"/>
      <c r="R20" s="373"/>
    </row>
    <row r="21" spans="1:18" x14ac:dyDescent="0.3">
      <c r="A21" s="78" t="s">
        <v>105</v>
      </c>
      <c r="B21" s="81"/>
      <c r="C21" s="81">
        <v>1811.47</v>
      </c>
      <c r="D21" s="81"/>
      <c r="E21" s="81"/>
      <c r="F21" s="81"/>
      <c r="G21" s="81"/>
      <c r="H21" s="81"/>
      <c r="I21" s="81"/>
      <c r="J21" s="81"/>
      <c r="K21" s="81"/>
      <c r="L21" s="81"/>
      <c r="M21" s="81"/>
      <c r="N21" s="103">
        <f t="shared" si="1"/>
        <v>1811.47</v>
      </c>
      <c r="O21" s="286" t="s">
        <v>15</v>
      </c>
      <c r="P21" s="81">
        <f>+'budget entry'!C29</f>
        <v>79520</v>
      </c>
      <c r="Q21" s="81"/>
      <c r="R21" s="373"/>
    </row>
    <row r="22" spans="1:18" x14ac:dyDescent="0.3">
      <c r="A22" s="306" t="s">
        <v>493</v>
      </c>
      <c r="B22" s="306">
        <f t="shared" ref="B22:N22" si="2">SUM(B6:B21)</f>
        <v>362539.15</v>
      </c>
      <c r="C22" s="306">
        <f t="shared" si="2"/>
        <v>434461.70999999996</v>
      </c>
      <c r="D22" s="306">
        <f t="shared" si="2"/>
        <v>0</v>
      </c>
      <c r="E22" s="306">
        <f t="shared" si="2"/>
        <v>0</v>
      </c>
      <c r="F22" s="306">
        <f t="shared" si="2"/>
        <v>0</v>
      </c>
      <c r="G22" s="306">
        <f t="shared" si="2"/>
        <v>0</v>
      </c>
      <c r="H22" s="306">
        <f t="shared" si="2"/>
        <v>0</v>
      </c>
      <c r="I22" s="306">
        <f t="shared" si="2"/>
        <v>0</v>
      </c>
      <c r="J22" s="306">
        <f t="shared" si="2"/>
        <v>0</v>
      </c>
      <c r="K22" s="306">
        <f t="shared" si="2"/>
        <v>0</v>
      </c>
      <c r="L22" s="306">
        <f t="shared" si="2"/>
        <v>0</v>
      </c>
      <c r="M22" s="306">
        <f t="shared" si="2"/>
        <v>0</v>
      </c>
      <c r="N22" s="306">
        <f t="shared" si="2"/>
        <v>797000.86000000022</v>
      </c>
      <c r="O22" s="342">
        <f>N22/P22</f>
        <v>0.16845984118291235</v>
      </c>
      <c r="P22" s="306">
        <f>SUM(P6:P21)</f>
        <v>4731103</v>
      </c>
      <c r="Q22" s="306">
        <f>SUM(Q6:Q21)</f>
        <v>4268840</v>
      </c>
      <c r="R22" s="373"/>
    </row>
    <row r="23" spans="1:18" ht="9" customHeight="1" x14ac:dyDescent="0.3">
      <c r="B23" s="259"/>
      <c r="C23" s="259"/>
      <c r="D23" s="259"/>
      <c r="E23" s="259"/>
      <c r="F23" s="259"/>
      <c r="G23" s="259"/>
      <c r="H23" s="259"/>
      <c r="I23" s="259"/>
      <c r="J23" s="259"/>
      <c r="K23" s="259"/>
      <c r="L23" s="259"/>
      <c r="M23" s="259"/>
      <c r="N23" s="259"/>
      <c r="O23" s="343"/>
      <c r="P23" s="259"/>
      <c r="Q23" s="259"/>
    </row>
    <row r="24" spans="1:18" ht="15" thickBot="1" x14ac:dyDescent="0.35">
      <c r="A24" s="260" t="s">
        <v>463</v>
      </c>
      <c r="B24" s="259"/>
      <c r="C24" s="259"/>
      <c r="D24" s="259"/>
      <c r="E24" s="259"/>
      <c r="F24" s="259"/>
      <c r="G24" s="259"/>
      <c r="H24" s="259"/>
      <c r="I24" s="259"/>
      <c r="J24" s="259"/>
      <c r="K24" s="259"/>
      <c r="L24" s="259"/>
      <c r="M24" s="259"/>
      <c r="N24" s="259"/>
      <c r="O24" s="343"/>
      <c r="P24" s="259"/>
      <c r="Q24" s="259"/>
    </row>
    <row r="25" spans="1:18" x14ac:dyDescent="0.3">
      <c r="A25" s="261" t="s">
        <v>30</v>
      </c>
      <c r="B25" s="262"/>
      <c r="C25" s="262"/>
      <c r="D25" s="262"/>
      <c r="E25" s="262"/>
      <c r="F25" s="262"/>
      <c r="G25" s="262"/>
      <c r="H25" s="262"/>
      <c r="I25" s="262"/>
      <c r="J25" s="262"/>
      <c r="K25" s="262"/>
      <c r="L25" s="262"/>
      <c r="M25" s="262"/>
      <c r="N25" s="262"/>
      <c r="O25" s="344"/>
      <c r="P25" s="262"/>
      <c r="Q25" s="262"/>
    </row>
    <row r="26" spans="1:18" x14ac:dyDescent="0.3">
      <c r="A26" s="102" t="s">
        <v>1</v>
      </c>
      <c r="B26" s="262"/>
      <c r="C26" s="262"/>
      <c r="D26" s="262"/>
      <c r="E26" s="262"/>
      <c r="F26" s="262"/>
      <c r="G26" s="262"/>
      <c r="H26" s="262"/>
      <c r="I26" s="262"/>
      <c r="J26" s="262"/>
      <c r="K26" s="262"/>
      <c r="L26" s="262"/>
      <c r="M26" s="262"/>
      <c r="N26" s="262"/>
      <c r="O26" s="344"/>
      <c r="P26" s="262"/>
      <c r="Q26" s="262"/>
    </row>
    <row r="27" spans="1:18" x14ac:dyDescent="0.3">
      <c r="A27" s="78" t="s">
        <v>111</v>
      </c>
      <c r="B27" s="78">
        <f>87439.19-1199+1271.99</f>
        <v>87512.180000000008</v>
      </c>
      <c r="C27" s="78">
        <f>83836.49+8775.64+2545.33+1342.3</f>
        <v>96499.760000000009</v>
      </c>
      <c r="D27" s="78"/>
      <c r="E27" s="78"/>
      <c r="F27" s="78"/>
      <c r="G27" s="78"/>
      <c r="H27" s="78"/>
      <c r="I27" s="78"/>
      <c r="J27" s="78"/>
      <c r="K27" s="78"/>
      <c r="L27" s="78"/>
      <c r="M27" s="78"/>
      <c r="N27" s="79">
        <f>SUM(B27:M27)</f>
        <v>184011.94</v>
      </c>
      <c r="O27" s="286">
        <f t="shared" ref="O27:O38" si="3">N27/P27</f>
        <v>0.16141398245614036</v>
      </c>
      <c r="P27" s="78">
        <f>'budget entry'!C34</f>
        <v>1140000</v>
      </c>
      <c r="Q27" s="78">
        <v>1150996</v>
      </c>
    </row>
    <row r="28" spans="1:18" x14ac:dyDescent="0.3">
      <c r="A28" s="78" t="s">
        <v>112</v>
      </c>
      <c r="B28" s="78"/>
      <c r="C28" s="78">
        <v>270.02</v>
      </c>
      <c r="D28" s="78"/>
      <c r="E28" s="78"/>
      <c r="F28" s="78"/>
      <c r="G28" s="78"/>
      <c r="I28" s="78"/>
      <c r="J28" s="78"/>
      <c r="K28" s="78"/>
      <c r="L28" s="78"/>
      <c r="M28" s="78"/>
      <c r="N28" s="79">
        <f>SUM(B28:M28)</f>
        <v>270.02</v>
      </c>
      <c r="O28" s="286">
        <f t="shared" si="3"/>
        <v>1.4918232044198895E-2</v>
      </c>
      <c r="P28" s="82">
        <f>'budget entry'!C35</f>
        <v>18100</v>
      </c>
      <c r="Q28" s="78">
        <v>18100</v>
      </c>
    </row>
    <row r="29" spans="1:18" x14ac:dyDescent="0.3">
      <c r="A29" s="78" t="s">
        <v>771</v>
      </c>
      <c r="B29" s="78"/>
      <c r="C29" s="78"/>
      <c r="D29" s="78"/>
      <c r="E29" s="78"/>
      <c r="F29" s="78"/>
      <c r="G29" s="78"/>
      <c r="I29" s="78"/>
      <c r="J29" s="78"/>
      <c r="K29" s="78"/>
      <c r="L29" s="78"/>
      <c r="M29" s="78"/>
      <c r="N29" s="79"/>
      <c r="O29" s="286"/>
      <c r="P29" s="82">
        <f>+'budget entry'!C37</f>
        <v>72895</v>
      </c>
      <c r="Q29" s="78"/>
    </row>
    <row r="30" spans="1:18" x14ac:dyDescent="0.3">
      <c r="A30" s="78" t="s">
        <v>113</v>
      </c>
      <c r="B30" s="81">
        <v>1199</v>
      </c>
      <c r="C30" s="81">
        <v>593.25</v>
      </c>
      <c r="D30" s="81"/>
      <c r="E30" s="81"/>
      <c r="F30" s="81"/>
      <c r="G30" s="81"/>
      <c r="H30" s="81"/>
      <c r="I30" s="81"/>
      <c r="J30" s="81"/>
      <c r="K30" s="81"/>
      <c r="L30" s="81"/>
      <c r="M30" s="81"/>
      <c r="N30" s="103">
        <f>SUM(B30:M30)</f>
        <v>1792.25</v>
      </c>
      <c r="O30" s="286">
        <f t="shared" si="3"/>
        <v>4.8702445652173916E-2</v>
      </c>
      <c r="P30" s="209">
        <f>'budget entry'!C36</f>
        <v>36800</v>
      </c>
      <c r="Q30" s="103">
        <v>26800</v>
      </c>
    </row>
    <row r="31" spans="1:18" x14ac:dyDescent="0.3">
      <c r="A31" s="78" t="s">
        <v>114</v>
      </c>
      <c r="B31" s="77">
        <f t="shared" ref="B31:N31" si="4">SUM(B27:B30)</f>
        <v>88711.180000000008</v>
      </c>
      <c r="C31" s="77">
        <f t="shared" si="4"/>
        <v>97363.030000000013</v>
      </c>
      <c r="D31" s="77">
        <f t="shared" si="4"/>
        <v>0</v>
      </c>
      <c r="E31" s="77">
        <f t="shared" si="4"/>
        <v>0</v>
      </c>
      <c r="F31" s="77">
        <f t="shared" si="4"/>
        <v>0</v>
      </c>
      <c r="G31" s="77">
        <f t="shared" si="4"/>
        <v>0</v>
      </c>
      <c r="H31" s="77">
        <f t="shared" si="4"/>
        <v>0</v>
      </c>
      <c r="I31" s="77">
        <f t="shared" si="4"/>
        <v>0</v>
      </c>
      <c r="J31" s="77">
        <f t="shared" si="4"/>
        <v>0</v>
      </c>
      <c r="K31" s="77">
        <f t="shared" si="4"/>
        <v>0</v>
      </c>
      <c r="L31" s="77">
        <f t="shared" si="4"/>
        <v>0</v>
      </c>
      <c r="M31" s="77">
        <f t="shared" si="4"/>
        <v>0</v>
      </c>
      <c r="N31" s="77">
        <f t="shared" si="4"/>
        <v>186074.21</v>
      </c>
      <c r="O31" s="286">
        <f t="shared" si="3"/>
        <v>0.1467699509778789</v>
      </c>
      <c r="P31" s="77">
        <f>SUM(P27:P30)</f>
        <v>1267795</v>
      </c>
      <c r="Q31" s="77">
        <f>SUM(Q27:Q30)</f>
        <v>1195896</v>
      </c>
    </row>
    <row r="32" spans="1:18" x14ac:dyDescent="0.3">
      <c r="A32" s="78" t="s">
        <v>497</v>
      </c>
      <c r="B32" s="82">
        <f>277.93+33293.78</f>
        <v>33571.71</v>
      </c>
      <c r="C32" s="82">
        <f>293.29+36275.41</f>
        <v>36568.700000000004</v>
      </c>
      <c r="D32" s="82"/>
      <c r="E32" s="82"/>
      <c r="F32" s="82"/>
      <c r="G32" s="82"/>
      <c r="H32" s="78"/>
      <c r="I32" s="82"/>
      <c r="J32" s="82"/>
      <c r="K32" s="82"/>
      <c r="L32" s="82"/>
      <c r="M32" s="82"/>
      <c r="N32" s="79">
        <f t="shared" ref="N32:N38" si="5">SUM(B32:M32)</f>
        <v>70140.41</v>
      </c>
      <c r="O32" s="286">
        <f t="shared" si="3"/>
        <v>0.12913810562585609</v>
      </c>
      <c r="P32" s="82">
        <f>+'budget entry'!C40+'budget entry'!C41+'budget entry'!C42</f>
        <v>543142.62749999994</v>
      </c>
      <c r="Q32" s="76">
        <v>563617</v>
      </c>
    </row>
    <row r="33" spans="1:18" x14ac:dyDescent="0.3">
      <c r="A33" s="78" t="s">
        <v>82</v>
      </c>
      <c r="B33" s="77">
        <v>1814.21</v>
      </c>
      <c r="C33" s="77">
        <v>3628.42</v>
      </c>
      <c r="D33" s="77"/>
      <c r="E33" s="77"/>
      <c r="F33" s="77"/>
      <c r="G33" s="77"/>
      <c r="H33" s="77"/>
      <c r="I33" s="77"/>
      <c r="J33" s="77"/>
      <c r="K33" s="77"/>
      <c r="L33" s="77"/>
      <c r="M33" s="77"/>
      <c r="N33" s="79">
        <f t="shared" si="5"/>
        <v>5442.63</v>
      </c>
      <c r="O33" s="286">
        <f t="shared" si="3"/>
        <v>0.17008218750000001</v>
      </c>
      <c r="P33" s="77">
        <f>+'budget entry'!C45</f>
        <v>32000</v>
      </c>
      <c r="Q33" s="76">
        <v>32000</v>
      </c>
    </row>
    <row r="34" spans="1:18" x14ac:dyDescent="0.3">
      <c r="A34" s="78" t="s">
        <v>455</v>
      </c>
      <c r="B34" s="77">
        <v>11000</v>
      </c>
      <c r="C34" s="77">
        <v>11000</v>
      </c>
      <c r="D34" s="77"/>
      <c r="E34" s="77"/>
      <c r="F34" s="77"/>
      <c r="G34" s="77"/>
      <c r="H34" s="77"/>
      <c r="I34" s="77"/>
      <c r="J34" s="77"/>
      <c r="K34" s="77"/>
      <c r="L34" s="77"/>
      <c r="M34" s="77"/>
      <c r="N34" s="79">
        <f t="shared" si="5"/>
        <v>22000</v>
      </c>
      <c r="O34" s="286">
        <f t="shared" si="3"/>
        <v>7.9710144927536225E-2</v>
      </c>
      <c r="P34" s="77">
        <f>+'budget entry'!C46</f>
        <v>276000</v>
      </c>
      <c r="Q34" s="76">
        <v>228777</v>
      </c>
      <c r="R34" s="172" t="s">
        <v>15</v>
      </c>
    </row>
    <row r="35" spans="1:18" x14ac:dyDescent="0.3">
      <c r="A35" s="78" t="s">
        <v>276</v>
      </c>
      <c r="B35" s="77">
        <f>12935.52+9145</f>
        <v>22080.52</v>
      </c>
      <c r="C35" s="77">
        <f>25204.45+47.48</f>
        <v>25251.93</v>
      </c>
      <c r="D35" s="77"/>
      <c r="E35" s="77"/>
      <c r="F35" s="77"/>
      <c r="G35" s="77"/>
      <c r="H35" s="77"/>
      <c r="I35" s="77"/>
      <c r="J35" s="77"/>
      <c r="K35" s="77"/>
      <c r="L35" s="77"/>
      <c r="M35" s="77"/>
      <c r="N35" s="79">
        <f t="shared" si="5"/>
        <v>47332.45</v>
      </c>
      <c r="O35" s="286">
        <f t="shared" si="3"/>
        <v>0.76342661290322578</v>
      </c>
      <c r="P35" s="77">
        <f>+'budget entry'!C47</f>
        <v>62000</v>
      </c>
      <c r="Q35" s="76">
        <v>55916</v>
      </c>
      <c r="R35" s="172" t="s">
        <v>737</v>
      </c>
    </row>
    <row r="36" spans="1:18" x14ac:dyDescent="0.3">
      <c r="A36" s="78" t="s">
        <v>85</v>
      </c>
      <c r="B36" s="77">
        <v>7951.35</v>
      </c>
      <c r="C36" s="77">
        <v>12184.42</v>
      </c>
      <c r="D36" s="77"/>
      <c r="E36" s="77"/>
      <c r="F36" s="77"/>
      <c r="G36" s="77"/>
      <c r="H36" s="77"/>
      <c r="I36" s="77"/>
      <c r="J36" s="77"/>
      <c r="K36" s="77"/>
      <c r="L36" s="77"/>
      <c r="M36" s="77"/>
      <c r="N36" s="79">
        <f t="shared" si="5"/>
        <v>20135.77</v>
      </c>
      <c r="O36" s="286">
        <f t="shared" si="3"/>
        <v>0.65195952727861428</v>
      </c>
      <c r="P36" s="77">
        <f>+'budget entry'!C48</f>
        <v>30885</v>
      </c>
      <c r="Q36" s="76">
        <v>30885</v>
      </c>
      <c r="R36" s="172"/>
    </row>
    <row r="37" spans="1:18" x14ac:dyDescent="0.3">
      <c r="A37" s="78" t="s">
        <v>465</v>
      </c>
      <c r="B37" s="51">
        <v>11423.98</v>
      </c>
      <c r="C37" s="51">
        <v>1035.24</v>
      </c>
      <c r="D37" s="51"/>
      <c r="E37" s="51"/>
      <c r="F37" s="51"/>
      <c r="G37" s="51"/>
      <c r="H37" s="51"/>
      <c r="I37" s="51"/>
      <c r="J37" s="51"/>
      <c r="K37" s="51"/>
      <c r="L37" s="51"/>
      <c r="M37" s="51"/>
      <c r="N37" s="79">
        <f t="shared" si="5"/>
        <v>12459.22</v>
      </c>
      <c r="O37" s="286">
        <f t="shared" si="3"/>
        <v>0.2089806940740368</v>
      </c>
      <c r="P37" s="51">
        <f>+'budget entry'!C49</f>
        <v>59619</v>
      </c>
      <c r="Q37" s="51">
        <v>48775</v>
      </c>
    </row>
    <row r="38" spans="1:18" ht="15.75" customHeight="1" x14ac:dyDescent="0.3">
      <c r="A38" s="246" t="s">
        <v>568</v>
      </c>
      <c r="B38" s="81"/>
      <c r="C38" s="81"/>
      <c r="D38" s="81"/>
      <c r="E38" s="81"/>
      <c r="F38" s="81"/>
      <c r="G38" s="81"/>
      <c r="H38" s="81"/>
      <c r="I38" s="81"/>
      <c r="J38" s="81"/>
      <c r="K38" s="81"/>
      <c r="L38" s="81"/>
      <c r="M38" s="81"/>
      <c r="N38" s="103">
        <f t="shared" si="5"/>
        <v>0</v>
      </c>
      <c r="O38" s="286">
        <f t="shared" si="3"/>
        <v>0</v>
      </c>
      <c r="P38" s="81">
        <f>+'budget entry'!C51</f>
        <v>5000</v>
      </c>
      <c r="Q38" s="66">
        <v>1200</v>
      </c>
    </row>
    <row r="39" spans="1:18" s="195" customFormat="1" x14ac:dyDescent="0.3">
      <c r="A39" s="270" t="s">
        <v>30</v>
      </c>
      <c r="B39" s="60">
        <f t="shared" ref="B39:N39" si="6">SUM(B31:B38)</f>
        <v>176552.95000000004</v>
      </c>
      <c r="C39" s="60">
        <f t="shared" si="6"/>
        <v>187031.74000000002</v>
      </c>
      <c r="D39" s="60">
        <f t="shared" si="6"/>
        <v>0</v>
      </c>
      <c r="E39" s="60">
        <f t="shared" si="6"/>
        <v>0</v>
      </c>
      <c r="F39" s="60">
        <f t="shared" si="6"/>
        <v>0</v>
      </c>
      <c r="G39" s="60">
        <f t="shared" si="6"/>
        <v>0</v>
      </c>
      <c r="H39" s="60">
        <f t="shared" si="6"/>
        <v>0</v>
      </c>
      <c r="I39" s="60">
        <f t="shared" si="6"/>
        <v>0</v>
      </c>
      <c r="J39" s="60">
        <f t="shared" si="6"/>
        <v>0</v>
      </c>
      <c r="K39" s="60">
        <f t="shared" si="6"/>
        <v>0</v>
      </c>
      <c r="L39" s="60">
        <f t="shared" si="6"/>
        <v>0</v>
      </c>
      <c r="M39" s="60">
        <f t="shared" si="6"/>
        <v>0</v>
      </c>
      <c r="N39" s="60">
        <f t="shared" si="6"/>
        <v>363584.69</v>
      </c>
      <c r="O39" s="286">
        <f>N39/P39</f>
        <v>0.15971623678279448</v>
      </c>
      <c r="P39" s="60">
        <f>SUM(P31:P38)</f>
        <v>2276441.6274999999</v>
      </c>
      <c r="Q39" s="60">
        <f>SUM(Q31:Q38)</f>
        <v>2157066</v>
      </c>
    </row>
    <row r="40" spans="1:18" s="195" customFormat="1" ht="9" customHeight="1" x14ac:dyDescent="0.3">
      <c r="A40" s="51"/>
      <c r="B40" s="51"/>
      <c r="C40" s="51"/>
      <c r="D40" s="51"/>
      <c r="E40" s="51"/>
      <c r="F40" s="51"/>
      <c r="G40" s="51"/>
      <c r="H40" s="51"/>
      <c r="I40" s="51"/>
      <c r="J40" s="51"/>
      <c r="K40" s="51"/>
      <c r="L40" s="51"/>
      <c r="M40" s="51"/>
      <c r="N40" s="51"/>
      <c r="O40" s="344"/>
      <c r="P40" s="51"/>
      <c r="Q40" s="51"/>
    </row>
    <row r="41" spans="1:18" s="195" customFormat="1" x14ac:dyDescent="0.3">
      <c r="A41" s="128" t="s">
        <v>614</v>
      </c>
      <c r="B41" s="51"/>
      <c r="C41" s="51"/>
      <c r="D41" s="51"/>
      <c r="E41" s="51"/>
      <c r="F41" s="51"/>
      <c r="G41" s="51"/>
      <c r="H41" s="51"/>
      <c r="I41" s="51"/>
      <c r="J41" s="51"/>
      <c r="K41" s="51"/>
      <c r="L41" s="51"/>
      <c r="M41" s="51"/>
      <c r="N41" s="51"/>
      <c r="O41" s="344"/>
      <c r="P41" s="51"/>
      <c r="Q41" s="51"/>
    </row>
    <row r="42" spans="1:18" s="195" customFormat="1" x14ac:dyDescent="0.3">
      <c r="A42" s="78" t="s">
        <v>120</v>
      </c>
      <c r="B42" s="79">
        <v>11974.02</v>
      </c>
      <c r="C42" s="79">
        <v>12758.55</v>
      </c>
      <c r="D42" s="79"/>
      <c r="E42" s="79"/>
      <c r="F42" s="79"/>
      <c r="G42" s="79"/>
      <c r="H42" s="79"/>
      <c r="I42" s="79"/>
      <c r="J42" s="79"/>
      <c r="K42" s="79"/>
      <c r="L42" s="79"/>
      <c r="M42" s="79"/>
      <c r="N42" s="79">
        <f t="shared" ref="N42:N48" si="7">SUM(B42:M42)</f>
        <v>24732.57</v>
      </c>
      <c r="O42" s="286">
        <f t="shared" ref="O42:O49" si="8">N42/P42</f>
        <v>0.17990463790043354</v>
      </c>
      <c r="P42" s="77">
        <f>+'budget entry'!C55</f>
        <v>137476</v>
      </c>
      <c r="Q42" s="79">
        <v>141250</v>
      </c>
    </row>
    <row r="43" spans="1:18" s="195" customFormat="1" x14ac:dyDescent="0.3">
      <c r="A43" s="78" t="s">
        <v>497</v>
      </c>
      <c r="B43" s="77">
        <v>3580.05</v>
      </c>
      <c r="C43" s="77">
        <v>4026.12</v>
      </c>
      <c r="D43" s="77"/>
      <c r="E43" s="77"/>
      <c r="F43" s="77"/>
      <c r="G43" s="77"/>
      <c r="H43" s="77"/>
      <c r="I43" s="77"/>
      <c r="J43" s="77"/>
      <c r="K43" s="77"/>
      <c r="L43" s="77"/>
      <c r="M43" s="77"/>
      <c r="N43" s="79">
        <f t="shared" si="7"/>
        <v>7606.17</v>
      </c>
      <c r="O43" s="286">
        <f t="shared" si="8"/>
        <v>0.11431230511848284</v>
      </c>
      <c r="P43" s="460">
        <f>+'budget entry'!C56+'budget entry'!C57+'budget entry'!C58</f>
        <v>66538.505999999994</v>
      </c>
      <c r="Q43" s="77">
        <f>2048+28815+1766+31992</f>
        <v>64621</v>
      </c>
    </row>
    <row r="44" spans="1:18" s="195" customFormat="1" x14ac:dyDescent="0.3">
      <c r="A44" s="78" t="s">
        <v>717</v>
      </c>
      <c r="B44" s="77"/>
      <c r="C44" s="77"/>
      <c r="D44" s="77"/>
      <c r="E44" s="77"/>
      <c r="F44" s="77"/>
      <c r="G44" s="77"/>
      <c r="H44" s="77"/>
      <c r="I44" s="77"/>
      <c r="J44" s="77"/>
      <c r="K44" s="77"/>
      <c r="L44" s="77"/>
      <c r="M44" s="77"/>
      <c r="N44" s="79">
        <f>SUM(B44:M44)</f>
        <v>0</v>
      </c>
      <c r="O44" s="286">
        <f>N44/P44</f>
        <v>0</v>
      </c>
      <c r="P44" s="77">
        <f>+'budget entry'!C59</f>
        <v>5000</v>
      </c>
      <c r="Q44" s="77">
        <v>5000</v>
      </c>
    </row>
    <row r="45" spans="1:18" s="195" customFormat="1" x14ac:dyDescent="0.3">
      <c r="A45" s="78" t="s">
        <v>467</v>
      </c>
      <c r="B45" s="77"/>
      <c r="C45" s="77">
        <v>714.88</v>
      </c>
      <c r="D45" s="77"/>
      <c r="E45" s="77"/>
      <c r="F45" s="77"/>
      <c r="G45" s="77"/>
      <c r="H45" s="77"/>
      <c r="I45" s="77"/>
      <c r="J45" s="77"/>
      <c r="K45" s="77"/>
      <c r="L45" s="77"/>
      <c r="M45" s="77"/>
      <c r="N45" s="79">
        <f t="shared" si="7"/>
        <v>714.88</v>
      </c>
      <c r="O45" s="286">
        <f t="shared" si="8"/>
        <v>0.10212571428571429</v>
      </c>
      <c r="P45" s="77">
        <f>+'budget entry'!C60</f>
        <v>7000</v>
      </c>
      <c r="Q45" s="77">
        <v>8333</v>
      </c>
    </row>
    <row r="46" spans="1:18" s="195" customFormat="1" x14ac:dyDescent="0.3">
      <c r="A46" s="78" t="s">
        <v>103</v>
      </c>
      <c r="B46" s="77"/>
      <c r="C46" s="77"/>
      <c r="D46" s="77"/>
      <c r="E46" s="77"/>
      <c r="F46" s="77"/>
      <c r="G46" s="77"/>
      <c r="H46" s="77"/>
      <c r="I46" s="77"/>
      <c r="J46" s="77"/>
      <c r="K46" s="77"/>
      <c r="L46" s="77"/>
      <c r="M46" s="77"/>
      <c r="N46" s="79">
        <f t="shared" si="7"/>
        <v>0</v>
      </c>
      <c r="O46" s="286">
        <f>N46/P46</f>
        <v>0</v>
      </c>
      <c r="P46" s="77">
        <f>+'budget entry'!C63</f>
        <v>7500</v>
      </c>
      <c r="Q46" s="77">
        <v>5855</v>
      </c>
    </row>
    <row r="47" spans="1:18" s="195" customFormat="1" x14ac:dyDescent="0.3">
      <c r="A47" s="78" t="s">
        <v>535</v>
      </c>
      <c r="B47" s="77"/>
      <c r="C47" s="77"/>
      <c r="D47" s="77"/>
      <c r="E47" s="77"/>
      <c r="F47" s="77"/>
      <c r="G47" s="77"/>
      <c r="H47" s="77"/>
      <c r="I47" s="77"/>
      <c r="J47" s="77"/>
      <c r="K47" s="77"/>
      <c r="L47" s="77"/>
      <c r="M47" s="77"/>
      <c r="N47" s="79">
        <f t="shared" si="7"/>
        <v>0</v>
      </c>
      <c r="O47" s="286">
        <f>N47/P46</f>
        <v>0</v>
      </c>
      <c r="P47" s="460">
        <f>'budget entry'!C62</f>
        <v>20000</v>
      </c>
      <c r="Q47" s="77">
        <v>20000</v>
      </c>
    </row>
    <row r="48" spans="1:18" s="195" customFormat="1" x14ac:dyDescent="0.3">
      <c r="A48" s="78" t="s">
        <v>75</v>
      </c>
      <c r="B48" s="81">
        <v>2271.87</v>
      </c>
      <c r="C48" s="81">
        <v>387.34</v>
      </c>
      <c r="D48" s="81"/>
      <c r="E48" s="81"/>
      <c r="F48" s="81"/>
      <c r="G48" s="81"/>
      <c r="H48" s="81"/>
      <c r="I48" s="81"/>
      <c r="J48" s="81"/>
      <c r="K48" s="81"/>
      <c r="L48" s="81"/>
      <c r="M48" s="81"/>
      <c r="N48" s="103">
        <f t="shared" si="7"/>
        <v>2659.21</v>
      </c>
      <c r="O48" s="286">
        <f t="shared" si="8"/>
        <v>7.5977428571428571E-2</v>
      </c>
      <c r="P48" s="81">
        <f>+'budget entry'!C61</f>
        <v>35000</v>
      </c>
      <c r="Q48" s="81">
        <v>35000</v>
      </c>
    </row>
    <row r="49" spans="1:17" s="195" customFormat="1" x14ac:dyDescent="0.3">
      <c r="A49" s="55" t="s">
        <v>614</v>
      </c>
      <c r="B49" s="60">
        <f t="shared" ref="B49:N49" si="9">SUM(B42:B48)</f>
        <v>17825.939999999999</v>
      </c>
      <c r="C49" s="60">
        <f t="shared" si="9"/>
        <v>17886.89</v>
      </c>
      <c r="D49" s="60">
        <f t="shared" si="9"/>
        <v>0</v>
      </c>
      <c r="E49" s="60">
        <f t="shared" si="9"/>
        <v>0</v>
      </c>
      <c r="F49" s="60">
        <f t="shared" si="9"/>
        <v>0</v>
      </c>
      <c r="G49" s="60">
        <f t="shared" si="9"/>
        <v>0</v>
      </c>
      <c r="H49" s="60">
        <f t="shared" si="9"/>
        <v>0</v>
      </c>
      <c r="I49" s="60">
        <f t="shared" si="9"/>
        <v>0</v>
      </c>
      <c r="J49" s="60">
        <f t="shared" si="9"/>
        <v>0</v>
      </c>
      <c r="K49" s="60">
        <f t="shared" si="9"/>
        <v>0</v>
      </c>
      <c r="L49" s="60">
        <f t="shared" si="9"/>
        <v>0</v>
      </c>
      <c r="M49" s="60">
        <f t="shared" si="9"/>
        <v>0</v>
      </c>
      <c r="N49" s="60">
        <f t="shared" si="9"/>
        <v>35712.829999999994</v>
      </c>
      <c r="O49" s="286">
        <f t="shared" si="8"/>
        <v>0.12822610395740033</v>
      </c>
      <c r="P49" s="60">
        <f>SUM(P42:P48)</f>
        <v>278514.50599999999</v>
      </c>
      <c r="Q49" s="60">
        <f>SUM(Q42:Q48)</f>
        <v>280059</v>
      </c>
    </row>
    <row r="50" spans="1:17" s="195" customFormat="1" ht="11.4" customHeight="1" x14ac:dyDescent="0.3">
      <c r="A50" s="51"/>
      <c r="B50" s="51"/>
      <c r="C50" s="51"/>
      <c r="D50" s="51"/>
      <c r="E50" s="51"/>
      <c r="F50" s="51"/>
      <c r="G50" s="51"/>
      <c r="H50" s="51"/>
      <c r="I50" s="51"/>
      <c r="J50" s="51"/>
      <c r="K50" s="51"/>
      <c r="L50" s="51"/>
      <c r="M50" s="51"/>
      <c r="N50" s="51"/>
      <c r="O50" s="344"/>
      <c r="P50" s="51"/>
      <c r="Q50" s="51"/>
    </row>
    <row r="51" spans="1:17" s="195" customFormat="1" x14ac:dyDescent="0.3">
      <c r="A51" s="128" t="s">
        <v>126</v>
      </c>
      <c r="B51" s="51"/>
      <c r="C51" s="51"/>
      <c r="D51" s="51"/>
      <c r="E51" s="51"/>
      <c r="F51" s="51"/>
      <c r="G51" s="51"/>
      <c r="H51" s="51"/>
      <c r="I51" s="51"/>
      <c r="J51" s="51"/>
      <c r="K51" s="51"/>
      <c r="L51" s="51"/>
      <c r="M51" s="51"/>
      <c r="N51" s="51"/>
      <c r="O51" s="344"/>
      <c r="P51" s="51"/>
      <c r="Q51" s="51"/>
    </row>
    <row r="52" spans="1:17" s="195" customFormat="1" x14ac:dyDescent="0.3">
      <c r="A52" s="78" t="s">
        <v>1</v>
      </c>
      <c r="B52" s="78">
        <v>4512.41</v>
      </c>
      <c r="C52" s="78">
        <v>4614.7299999999996</v>
      </c>
      <c r="D52" s="78"/>
      <c r="E52" s="78"/>
      <c r="F52" s="78"/>
      <c r="G52" s="78"/>
      <c r="H52" s="78"/>
      <c r="I52" s="78"/>
      <c r="J52" s="78"/>
      <c r="K52" s="78"/>
      <c r="L52" s="78"/>
      <c r="M52" s="78"/>
      <c r="N52" s="79">
        <f t="shared" ref="N52:N58" si="10">SUM(B52:M52)</f>
        <v>9127.14</v>
      </c>
      <c r="O52" s="286">
        <f t="shared" ref="O52:O59" si="11">N52/P52</f>
        <v>0.16855602134850134</v>
      </c>
      <c r="P52" s="77">
        <f>+'budget entry'!C70</f>
        <v>54149</v>
      </c>
      <c r="Q52" s="78">
        <v>54149</v>
      </c>
    </row>
    <row r="53" spans="1:17" s="195" customFormat="1" x14ac:dyDescent="0.3">
      <c r="A53" s="78" t="s">
        <v>497</v>
      </c>
      <c r="B53" s="77">
        <v>1971.34</v>
      </c>
      <c r="C53" s="77">
        <v>1968.13</v>
      </c>
      <c r="D53" s="77"/>
      <c r="E53" s="77"/>
      <c r="F53" s="77"/>
      <c r="G53" s="77"/>
      <c r="H53" s="77"/>
      <c r="I53" s="77"/>
      <c r="J53" s="77"/>
      <c r="K53" s="77"/>
      <c r="L53" s="77"/>
      <c r="M53" s="77"/>
      <c r="N53" s="79">
        <f t="shared" si="10"/>
        <v>3939.4700000000003</v>
      </c>
      <c r="O53" s="286">
        <f t="shared" si="11"/>
        <v>0.15864772713704034</v>
      </c>
      <c r="P53" s="77">
        <f>+'budget entry'!C71+'budget entry'!C72+'budget entry'!C73</f>
        <v>24831.556499999999</v>
      </c>
      <c r="Q53" s="77">
        <f>785+11046+677+11563</f>
        <v>24071</v>
      </c>
    </row>
    <row r="54" spans="1:17" s="195" customFormat="1" x14ac:dyDescent="0.3">
      <c r="A54" s="78" t="s">
        <v>2</v>
      </c>
      <c r="B54" s="77">
        <f>129.33+78+185.23</f>
        <v>392.56</v>
      </c>
      <c r="C54" s="77">
        <f>1183.9+187.02</f>
        <v>1370.92</v>
      </c>
      <c r="D54" s="77"/>
      <c r="E54" s="77"/>
      <c r="F54" s="77"/>
      <c r="G54" s="77"/>
      <c r="H54" s="77"/>
      <c r="I54" s="77"/>
      <c r="J54" s="77"/>
      <c r="K54" s="77"/>
      <c r="L54" s="77"/>
      <c r="M54" s="77"/>
      <c r="N54" s="79">
        <f t="shared" si="10"/>
        <v>1763.48</v>
      </c>
      <c r="O54" s="286">
        <f t="shared" si="11"/>
        <v>0.17038454106280193</v>
      </c>
      <c r="P54" s="77">
        <f>+'budget entry'!C74</f>
        <v>10350</v>
      </c>
      <c r="Q54" s="77">
        <v>19042</v>
      </c>
    </row>
    <row r="55" spans="1:17" s="195" customFormat="1" ht="27" customHeight="1" x14ac:dyDescent="0.3">
      <c r="A55" s="78" t="s">
        <v>500</v>
      </c>
      <c r="B55" s="77"/>
      <c r="C55" s="77"/>
      <c r="D55" s="77"/>
      <c r="E55" s="77"/>
      <c r="F55" s="77"/>
      <c r="G55" s="77"/>
      <c r="H55" s="77"/>
      <c r="I55" s="77"/>
      <c r="J55" s="77"/>
      <c r="K55" s="77"/>
      <c r="L55" s="77"/>
      <c r="M55" s="77"/>
      <c r="N55" s="79">
        <f t="shared" si="10"/>
        <v>0</v>
      </c>
      <c r="O55" s="286">
        <f t="shared" si="11"/>
        <v>0</v>
      </c>
      <c r="P55" s="460">
        <f>+'budget entry'!C75</f>
        <v>15910</v>
      </c>
      <c r="Q55" s="77">
        <v>10910</v>
      </c>
    </row>
    <row r="56" spans="1:17" s="195" customFormat="1" x14ac:dyDescent="0.3">
      <c r="A56" s="78" t="s">
        <v>86</v>
      </c>
      <c r="B56" s="77"/>
      <c r="C56" s="77"/>
      <c r="D56" s="77"/>
      <c r="E56" s="77"/>
      <c r="F56" s="77"/>
      <c r="G56" s="77"/>
      <c r="H56" s="77"/>
      <c r="I56" s="77"/>
      <c r="J56" s="77"/>
      <c r="K56" s="77"/>
      <c r="L56" s="77"/>
      <c r="M56" s="77"/>
      <c r="N56" s="79">
        <f t="shared" si="10"/>
        <v>0</v>
      </c>
      <c r="O56" s="286">
        <f t="shared" si="11"/>
        <v>0</v>
      </c>
      <c r="P56" s="77">
        <f>+'budget entry'!C76</f>
        <v>3075</v>
      </c>
      <c r="Q56" s="77">
        <v>3075</v>
      </c>
    </row>
    <row r="57" spans="1:17" s="195" customFormat="1" x14ac:dyDescent="0.3">
      <c r="A57" s="78" t="s">
        <v>38</v>
      </c>
      <c r="B57" s="77">
        <f>4001.6+9827.6</f>
        <v>13829.2</v>
      </c>
      <c r="C57" s="77"/>
      <c r="D57" s="77"/>
      <c r="E57" s="77"/>
      <c r="F57" s="77"/>
      <c r="G57" s="77"/>
      <c r="H57" s="77"/>
      <c r="I57" s="77"/>
      <c r="J57" s="77"/>
      <c r="K57" s="77"/>
      <c r="L57" s="77"/>
      <c r="M57" s="77"/>
      <c r="N57" s="79">
        <f t="shared" si="10"/>
        <v>13829.2</v>
      </c>
      <c r="O57" s="286">
        <f t="shared" si="11"/>
        <v>0.98780000000000001</v>
      </c>
      <c r="P57" s="77">
        <f>+'budget entry'!C77</f>
        <v>14000</v>
      </c>
      <c r="Q57" s="77">
        <v>13221</v>
      </c>
    </row>
    <row r="58" spans="1:17" s="195" customFormat="1" x14ac:dyDescent="0.3">
      <c r="A58" s="78" t="s">
        <v>620</v>
      </c>
      <c r="B58" s="81"/>
      <c r="C58" s="81"/>
      <c r="D58" s="81"/>
      <c r="E58" s="81"/>
      <c r="F58" s="81"/>
      <c r="G58" s="81"/>
      <c r="H58" s="81"/>
      <c r="I58" s="81"/>
      <c r="J58" s="81"/>
      <c r="K58" s="81"/>
      <c r="L58" s="81"/>
      <c r="M58" s="81"/>
      <c r="N58" s="103">
        <f t="shared" si="10"/>
        <v>0</v>
      </c>
      <c r="O58" s="286">
        <f t="shared" si="11"/>
        <v>0</v>
      </c>
      <c r="P58" s="81">
        <f>+'budget entry'!C78</f>
        <v>2000</v>
      </c>
      <c r="Q58" s="81">
        <v>2000</v>
      </c>
    </row>
    <row r="59" spans="1:17" s="195" customFormat="1" x14ac:dyDescent="0.3">
      <c r="A59" s="55" t="s">
        <v>126</v>
      </c>
      <c r="B59" s="60">
        <f>SUM(B52:B58)</f>
        <v>20705.510000000002</v>
      </c>
      <c r="C59" s="60">
        <f>SUM(C52:C58)</f>
        <v>7953.78</v>
      </c>
      <c r="D59" s="60">
        <f>SUM(D52:D58)</f>
        <v>0</v>
      </c>
      <c r="E59" s="60">
        <f>SUM(E52:E58)</f>
        <v>0</v>
      </c>
      <c r="F59" s="60">
        <f t="shared" ref="F59:M59" si="12">SUM(F52:F58)</f>
        <v>0</v>
      </c>
      <c r="G59" s="60">
        <f t="shared" si="12"/>
        <v>0</v>
      </c>
      <c r="H59" s="60">
        <f t="shared" si="12"/>
        <v>0</v>
      </c>
      <c r="I59" s="60">
        <f t="shared" si="12"/>
        <v>0</v>
      </c>
      <c r="J59" s="60">
        <f t="shared" si="12"/>
        <v>0</v>
      </c>
      <c r="K59" s="60">
        <f t="shared" si="12"/>
        <v>0</v>
      </c>
      <c r="L59" s="60">
        <f t="shared" si="12"/>
        <v>0</v>
      </c>
      <c r="M59" s="60">
        <f t="shared" si="12"/>
        <v>0</v>
      </c>
      <c r="N59" s="60">
        <f>SUM(N52:N58)</f>
        <v>28659.29</v>
      </c>
      <c r="O59" s="286">
        <f t="shared" si="11"/>
        <v>0.23053663440745648</v>
      </c>
      <c r="P59" s="60">
        <f>SUM(P52:P58)</f>
        <v>124315.55650000001</v>
      </c>
      <c r="Q59" s="60">
        <f>SUM(Q52:Q58)</f>
        <v>126468</v>
      </c>
    </row>
    <row r="60" spans="1:17" s="195" customFormat="1" ht="12.6" customHeight="1" x14ac:dyDescent="0.3">
      <c r="A60" s="51"/>
      <c r="B60" s="51"/>
      <c r="C60" s="51"/>
      <c r="D60" s="51"/>
      <c r="E60" s="51"/>
      <c r="F60" s="51"/>
      <c r="G60" s="51"/>
      <c r="H60" s="51"/>
      <c r="I60" s="51"/>
      <c r="J60" s="51"/>
      <c r="K60" s="51"/>
      <c r="L60" s="51"/>
      <c r="M60" s="51"/>
      <c r="N60" s="51"/>
      <c r="O60" s="344"/>
      <c r="P60" s="51"/>
      <c r="Q60" s="51"/>
    </row>
    <row r="61" spans="1:17" s="195" customFormat="1" x14ac:dyDescent="0.3">
      <c r="A61" s="128" t="s">
        <v>613</v>
      </c>
      <c r="B61" s="51"/>
      <c r="C61" s="51"/>
      <c r="D61" s="51"/>
      <c r="E61" s="51"/>
      <c r="F61" s="51"/>
      <c r="G61" s="51"/>
      <c r="H61" s="51"/>
      <c r="I61" s="51"/>
      <c r="J61" s="51"/>
      <c r="K61" s="51"/>
      <c r="L61" s="51"/>
      <c r="M61" s="51"/>
      <c r="N61" s="51"/>
      <c r="O61" s="344"/>
      <c r="P61" s="51"/>
      <c r="Q61" s="51"/>
    </row>
    <row r="62" spans="1:17" s="195" customFormat="1" x14ac:dyDescent="0.3">
      <c r="A62" s="78" t="s">
        <v>1</v>
      </c>
      <c r="B62" s="51">
        <v>4637.07</v>
      </c>
      <c r="C62" s="51">
        <v>4637.07</v>
      </c>
      <c r="D62" s="51"/>
      <c r="E62" s="51"/>
      <c r="F62" s="51"/>
      <c r="G62" s="51"/>
      <c r="H62" s="51"/>
      <c r="I62" s="51"/>
      <c r="J62" s="51"/>
      <c r="K62" s="51"/>
      <c r="L62" s="51"/>
      <c r="M62" s="51"/>
      <c r="N62" s="79">
        <f t="shared" ref="N62:N71" si="13">SUM(B62:M62)</f>
        <v>9274.14</v>
      </c>
      <c r="O62" s="286">
        <f t="shared" ref="O62:O72" si="14">N62/P62</f>
        <v>0.13281824196786859</v>
      </c>
      <c r="P62" s="51">
        <f>'budget entry'!C82</f>
        <v>69825.8</v>
      </c>
      <c r="Q62" s="51">
        <v>65060</v>
      </c>
    </row>
    <row r="63" spans="1:17" s="195" customFormat="1" x14ac:dyDescent="0.3">
      <c r="A63" s="78" t="s">
        <v>121</v>
      </c>
      <c r="B63" s="51"/>
      <c r="C63" s="51"/>
      <c r="D63" s="51"/>
      <c r="E63" s="51"/>
      <c r="F63" s="51"/>
      <c r="G63" s="51"/>
      <c r="H63" s="51"/>
      <c r="I63" s="51"/>
      <c r="J63" s="51"/>
      <c r="K63" s="51"/>
      <c r="L63" s="51"/>
      <c r="M63" s="51"/>
      <c r="N63" s="79">
        <f t="shared" si="13"/>
        <v>0</v>
      </c>
      <c r="O63" s="286">
        <f t="shared" si="14"/>
        <v>0</v>
      </c>
      <c r="P63" s="51">
        <f>+'budget entry'!C83</f>
        <v>2000</v>
      </c>
      <c r="Q63" s="51">
        <v>2000</v>
      </c>
    </row>
    <row r="64" spans="1:17" s="195" customFormat="1" x14ac:dyDescent="0.3">
      <c r="A64" s="78" t="s">
        <v>497</v>
      </c>
      <c r="B64" s="51">
        <v>1403.61</v>
      </c>
      <c r="C64" s="51">
        <v>1403.03</v>
      </c>
      <c r="D64" s="51"/>
      <c r="E64" s="51"/>
      <c r="F64" s="51"/>
      <c r="G64" s="51"/>
      <c r="H64" s="51"/>
      <c r="I64" s="51"/>
      <c r="J64" s="51"/>
      <c r="K64" s="51"/>
      <c r="L64" s="51"/>
      <c r="M64" s="51"/>
      <c r="N64" s="79">
        <f t="shared" si="13"/>
        <v>2806.64</v>
      </c>
      <c r="O64" s="286">
        <f t="shared" si="14"/>
        <v>0.12498209135823765</v>
      </c>
      <c r="P64" s="51">
        <f>+'budget entry'!C84+'budget entry'!C85+'budget entry'!C86</f>
        <v>22456.337299999999</v>
      </c>
      <c r="Q64" s="51">
        <f>980+13272+813+7710</f>
        <v>22775</v>
      </c>
    </row>
    <row r="65" spans="1:18" s="195" customFormat="1" x14ac:dyDescent="0.3">
      <c r="A65" s="78" t="s">
        <v>470</v>
      </c>
      <c r="B65" s="51">
        <v>498.63</v>
      </c>
      <c r="C65" s="51">
        <v>1890.43</v>
      </c>
      <c r="D65" s="51"/>
      <c r="E65" s="51"/>
      <c r="F65" s="51"/>
      <c r="G65" s="51"/>
      <c r="H65" s="51"/>
      <c r="I65" s="51"/>
      <c r="J65" s="51"/>
      <c r="K65" s="51"/>
      <c r="L65" s="51"/>
      <c r="M65" s="51"/>
      <c r="N65" s="79">
        <f t="shared" si="13"/>
        <v>2389.06</v>
      </c>
      <c r="O65" s="286">
        <f t="shared" si="14"/>
        <v>0.19908833333333334</v>
      </c>
      <c r="P65" s="51">
        <f>+'budget entry'!C87</f>
        <v>12000</v>
      </c>
      <c r="Q65" s="51">
        <v>12000</v>
      </c>
    </row>
    <row r="66" spans="1:18" s="195" customFormat="1" x14ac:dyDescent="0.3">
      <c r="A66" s="78" t="s">
        <v>471</v>
      </c>
      <c r="B66" s="51"/>
      <c r="C66" s="51">
        <v>21.97</v>
      </c>
      <c r="D66" s="51"/>
      <c r="E66" s="51"/>
      <c r="F66" s="51"/>
      <c r="G66" s="51"/>
      <c r="H66" s="51"/>
      <c r="I66" s="51"/>
      <c r="J66" s="51"/>
      <c r="K66" s="51"/>
      <c r="L66" s="51"/>
      <c r="M66" s="51"/>
      <c r="N66" s="79">
        <f t="shared" si="13"/>
        <v>21.97</v>
      </c>
      <c r="O66" s="286">
        <f t="shared" si="14"/>
        <v>7.3233333333333327E-3</v>
      </c>
      <c r="P66" s="51">
        <f>+'budget entry'!C88</f>
        <v>3000</v>
      </c>
      <c r="Q66" s="51">
        <v>3000</v>
      </c>
    </row>
    <row r="67" spans="1:18" s="195" customFormat="1" x14ac:dyDescent="0.3">
      <c r="A67" s="78" t="s">
        <v>414</v>
      </c>
      <c r="B67" s="51">
        <v>144</v>
      </c>
      <c r="C67" s="51"/>
      <c r="D67" s="51"/>
      <c r="E67" s="51"/>
      <c r="F67" s="51"/>
      <c r="G67" s="51"/>
      <c r="H67" s="51"/>
      <c r="I67" s="51"/>
      <c r="J67" s="51"/>
      <c r="K67" s="51"/>
      <c r="L67" s="51"/>
      <c r="M67" s="51"/>
      <c r="N67" s="79">
        <f t="shared" si="13"/>
        <v>144</v>
      </c>
      <c r="O67" s="286">
        <f t="shared" si="14"/>
        <v>2.8799999999999999E-2</v>
      </c>
      <c r="P67" s="51">
        <f>+'budget entry'!C89</f>
        <v>5000</v>
      </c>
      <c r="Q67" s="51">
        <v>5000</v>
      </c>
    </row>
    <row r="68" spans="1:18" s="195" customFormat="1" x14ac:dyDescent="0.3">
      <c r="A68" s="78" t="s">
        <v>42</v>
      </c>
      <c r="B68" s="51"/>
      <c r="C68" s="51">
        <v>3600</v>
      </c>
      <c r="D68" s="51"/>
      <c r="E68" s="51"/>
      <c r="F68" s="51"/>
      <c r="G68" s="51"/>
      <c r="H68" s="51"/>
      <c r="I68" s="51"/>
      <c r="J68" s="51"/>
      <c r="K68" s="51"/>
      <c r="L68" s="51"/>
      <c r="M68" s="51"/>
      <c r="N68" s="79">
        <f t="shared" si="13"/>
        <v>3600</v>
      </c>
      <c r="O68" s="286">
        <f t="shared" si="14"/>
        <v>0.45</v>
      </c>
      <c r="P68" s="51">
        <f>+'budget entry'!C90</f>
        <v>8000</v>
      </c>
      <c r="Q68" s="51">
        <v>8000</v>
      </c>
    </row>
    <row r="69" spans="1:18" s="195" customFormat="1" x14ac:dyDescent="0.3">
      <c r="A69" s="78" t="s">
        <v>472</v>
      </c>
      <c r="B69" s="51"/>
      <c r="C69" s="51"/>
      <c r="D69" s="51"/>
      <c r="E69" s="51"/>
      <c r="F69" s="51"/>
      <c r="G69" s="51"/>
      <c r="H69" s="51"/>
      <c r="I69" s="51"/>
      <c r="J69" s="51"/>
      <c r="K69" s="51"/>
      <c r="L69" s="51"/>
      <c r="M69" s="51"/>
      <c r="N69" s="79">
        <f t="shared" si="13"/>
        <v>0</v>
      </c>
      <c r="O69" s="286">
        <f t="shared" si="14"/>
        <v>0</v>
      </c>
      <c r="P69" s="51">
        <f>+'budget entry'!C91</f>
        <v>4800</v>
      </c>
      <c r="Q69" s="51">
        <v>4800</v>
      </c>
    </row>
    <row r="70" spans="1:18" s="195" customFormat="1" x14ac:dyDescent="0.3">
      <c r="A70" s="78" t="s">
        <v>475</v>
      </c>
      <c r="B70" s="51">
        <f>680+66.67</f>
        <v>746.67</v>
      </c>
      <c r="C70" s="51">
        <f>-680+43.06+57.11</f>
        <v>-579.83000000000004</v>
      </c>
      <c r="D70" s="51"/>
      <c r="E70" s="51"/>
      <c r="F70" s="51"/>
      <c r="G70" s="51"/>
      <c r="H70" s="51"/>
      <c r="I70" s="51"/>
      <c r="J70" s="51"/>
      <c r="K70" s="51"/>
      <c r="L70" s="51"/>
      <c r="M70" s="51"/>
      <c r="N70" s="79">
        <f t="shared" si="13"/>
        <v>166.83999999999992</v>
      </c>
      <c r="O70" s="286">
        <f t="shared" si="14"/>
        <v>1.6683999999999991E-2</v>
      </c>
      <c r="P70" s="51">
        <f>+'budget entry'!C92</f>
        <v>10000</v>
      </c>
      <c r="Q70" s="51">
        <v>10000</v>
      </c>
      <c r="R70" s="195" t="s">
        <v>649</v>
      </c>
    </row>
    <row r="71" spans="1:18" s="195" customFormat="1" x14ac:dyDescent="0.3">
      <c r="A71" s="78" t="s">
        <v>474</v>
      </c>
      <c r="B71" s="63">
        <v>6548.85</v>
      </c>
      <c r="C71" s="63">
        <v>5646.28</v>
      </c>
      <c r="D71" s="63"/>
      <c r="E71" s="63"/>
      <c r="F71" s="63"/>
      <c r="G71" s="63"/>
      <c r="H71" s="63"/>
      <c r="I71" s="63"/>
      <c r="J71" s="63"/>
      <c r="K71" s="63"/>
      <c r="L71" s="63"/>
      <c r="M71" s="63"/>
      <c r="N71" s="103">
        <f t="shared" si="13"/>
        <v>12195.130000000001</v>
      </c>
      <c r="O71" s="286">
        <f t="shared" si="14"/>
        <v>0.10221466947170793</v>
      </c>
      <c r="P71" s="63">
        <f>+'budget entry'!C93</f>
        <v>119309</v>
      </c>
      <c r="Q71" s="63">
        <v>113228</v>
      </c>
      <c r="R71" s="197" t="s">
        <v>15</v>
      </c>
    </row>
    <row r="72" spans="1:18" s="195" customFormat="1" x14ac:dyDescent="0.3">
      <c r="A72" s="55" t="s">
        <v>613</v>
      </c>
      <c r="B72" s="60">
        <f t="shared" ref="B72:N72" si="15">SUM(B62:B71)</f>
        <v>13978.83</v>
      </c>
      <c r="C72" s="60">
        <f>SUM(C62:C71)</f>
        <v>16618.95</v>
      </c>
      <c r="D72" s="60">
        <f>SUM(D62:D71)</f>
        <v>0</v>
      </c>
      <c r="E72" s="60">
        <f t="shared" si="15"/>
        <v>0</v>
      </c>
      <c r="F72" s="60">
        <f t="shared" si="15"/>
        <v>0</v>
      </c>
      <c r="G72" s="60">
        <f t="shared" si="15"/>
        <v>0</v>
      </c>
      <c r="H72" s="60">
        <f t="shared" si="15"/>
        <v>0</v>
      </c>
      <c r="I72" s="60">
        <f t="shared" si="15"/>
        <v>0</v>
      </c>
      <c r="J72" s="60">
        <f t="shared" si="15"/>
        <v>0</v>
      </c>
      <c r="K72" s="60">
        <f t="shared" si="15"/>
        <v>0</v>
      </c>
      <c r="L72" s="60">
        <f t="shared" si="15"/>
        <v>0</v>
      </c>
      <c r="M72" s="60">
        <f t="shared" si="15"/>
        <v>0</v>
      </c>
      <c r="N72" s="60">
        <f t="shared" si="15"/>
        <v>30597.78</v>
      </c>
      <c r="O72" s="286">
        <f t="shared" si="14"/>
        <v>0.11934024054894661</v>
      </c>
      <c r="P72" s="60">
        <f>SUM(P62:P71)</f>
        <v>256391.1373</v>
      </c>
      <c r="Q72" s="60">
        <f>SUM(Q62:Q71)</f>
        <v>245863</v>
      </c>
    </row>
    <row r="73" spans="1:18" s="195" customFormat="1" ht="10.95" customHeight="1" x14ac:dyDescent="0.3">
      <c r="A73" s="51"/>
      <c r="B73" s="51"/>
      <c r="C73" s="51"/>
      <c r="D73" s="51"/>
      <c r="E73" s="51"/>
      <c r="F73" s="51"/>
      <c r="G73" s="51"/>
      <c r="H73" s="51"/>
      <c r="I73" s="51"/>
      <c r="J73" s="51"/>
      <c r="K73" s="51"/>
      <c r="L73" s="51"/>
      <c r="M73" s="51"/>
      <c r="N73" s="51"/>
      <c r="O73" s="344"/>
      <c r="P73" s="51"/>
      <c r="Q73" s="51"/>
    </row>
    <row r="74" spans="1:18" s="195" customFormat="1" x14ac:dyDescent="0.3">
      <c r="A74" s="128" t="s">
        <v>20</v>
      </c>
      <c r="B74" s="51"/>
      <c r="C74" s="51"/>
      <c r="D74" s="51"/>
      <c r="E74" s="51"/>
      <c r="F74" s="51"/>
      <c r="G74" s="51"/>
      <c r="H74" s="51"/>
      <c r="I74" s="51"/>
      <c r="J74" s="51"/>
      <c r="K74" s="51"/>
      <c r="L74" s="51"/>
      <c r="M74" s="51"/>
      <c r="N74" s="51"/>
      <c r="O74" s="344"/>
      <c r="P74" s="51"/>
      <c r="Q74" s="51"/>
    </row>
    <row r="75" spans="1:18" s="195" customFormat="1" x14ac:dyDescent="0.3">
      <c r="A75" s="78" t="s">
        <v>1</v>
      </c>
      <c r="B75" s="78">
        <v>13470.77</v>
      </c>
      <c r="C75" s="78">
        <v>13444.08</v>
      </c>
      <c r="D75" s="78"/>
      <c r="E75" s="78"/>
      <c r="F75" s="78"/>
      <c r="G75" s="78"/>
      <c r="H75" s="78"/>
      <c r="I75" s="78"/>
      <c r="J75" s="78"/>
      <c r="K75" s="78"/>
      <c r="L75" s="78"/>
      <c r="M75" s="78"/>
      <c r="N75" s="79">
        <f t="shared" ref="N75:N80" si="16">SUM(B75:M75)</f>
        <v>26914.85</v>
      </c>
      <c r="O75" s="286">
        <f t="shared" ref="O75:O80" si="17">N75/P75</f>
        <v>0.16683102956672657</v>
      </c>
      <c r="P75" s="78">
        <f>'budget entry'!C97</f>
        <v>161330</v>
      </c>
      <c r="Q75" s="78">
        <v>159674</v>
      </c>
    </row>
    <row r="76" spans="1:18" s="195" customFormat="1" x14ac:dyDescent="0.3">
      <c r="A76" s="78" t="s">
        <v>673</v>
      </c>
      <c r="B76" s="78"/>
      <c r="C76" s="78"/>
      <c r="D76" s="78"/>
      <c r="E76" s="78"/>
      <c r="F76" s="78"/>
      <c r="G76" s="78"/>
      <c r="H76" s="78"/>
      <c r="I76" s="78"/>
      <c r="J76" s="78"/>
      <c r="K76" s="78"/>
      <c r="L76" s="78"/>
      <c r="M76" s="78"/>
      <c r="N76" s="79">
        <f t="shared" si="16"/>
        <v>0</v>
      </c>
      <c r="O76" s="286">
        <f t="shared" si="17"/>
        <v>0</v>
      </c>
      <c r="P76" s="78">
        <f>'budget entry'!C98</f>
        <v>22000</v>
      </c>
      <c r="Q76" s="78">
        <v>22000</v>
      </c>
    </row>
    <row r="77" spans="1:18" s="195" customFormat="1" x14ac:dyDescent="0.3">
      <c r="A77" s="78" t="s">
        <v>497</v>
      </c>
      <c r="B77" s="78">
        <v>4502.96</v>
      </c>
      <c r="C77" s="78">
        <v>4454.5</v>
      </c>
      <c r="D77" s="78"/>
      <c r="E77" s="78"/>
      <c r="F77" s="78"/>
      <c r="G77" s="78"/>
      <c r="H77" s="78"/>
      <c r="I77" s="78"/>
      <c r="J77" s="78"/>
      <c r="K77" s="78"/>
      <c r="L77" s="78"/>
      <c r="M77" s="78"/>
      <c r="N77" s="79">
        <f t="shared" si="16"/>
        <v>8957.4599999999991</v>
      </c>
      <c r="O77" s="286">
        <f t="shared" si="17"/>
        <v>0.12875536665760856</v>
      </c>
      <c r="P77" s="78">
        <f>+'budget entry'!C99+'budget entry'!C100+'budget entry'!C101</f>
        <v>69569.60500000001</v>
      </c>
      <c r="Q77" s="78">
        <f>2634+32573+1996+30835</f>
        <v>68038</v>
      </c>
    </row>
    <row r="78" spans="1:18" s="195" customFormat="1" x14ac:dyDescent="0.3">
      <c r="A78" s="79" t="s">
        <v>43</v>
      </c>
      <c r="B78" s="77">
        <v>880.01</v>
      </c>
      <c r="C78" s="77">
        <f>15.49+1444.95</f>
        <v>1460.44</v>
      </c>
      <c r="D78" s="77"/>
      <c r="E78" s="77"/>
      <c r="F78" s="77"/>
      <c r="G78" s="77"/>
      <c r="H78" s="77"/>
      <c r="I78" s="77"/>
      <c r="J78" s="77"/>
      <c r="K78" s="77"/>
      <c r="L78" s="77"/>
      <c r="M78" s="77"/>
      <c r="N78" s="79">
        <f t="shared" si="16"/>
        <v>2340.4499999999998</v>
      </c>
      <c r="O78" s="286">
        <f t="shared" si="17"/>
        <v>0.36006923076923075</v>
      </c>
      <c r="P78" s="77">
        <f>+'budget entry'!C102</f>
        <v>6500</v>
      </c>
      <c r="Q78" s="77">
        <v>6500</v>
      </c>
    </row>
    <row r="79" spans="1:18" s="195" customFormat="1" x14ac:dyDescent="0.3">
      <c r="A79" s="79" t="s">
        <v>476</v>
      </c>
      <c r="B79" s="77"/>
      <c r="C79" s="77"/>
      <c r="D79" s="77"/>
      <c r="E79" s="77"/>
      <c r="F79" s="77"/>
      <c r="G79" s="77"/>
      <c r="H79" s="77"/>
      <c r="I79" s="77"/>
      <c r="J79" s="77"/>
      <c r="K79" s="77"/>
      <c r="L79" s="77"/>
      <c r="M79" s="77"/>
      <c r="N79" s="79">
        <f t="shared" si="16"/>
        <v>0</v>
      </c>
      <c r="O79" s="286">
        <f t="shared" si="17"/>
        <v>0</v>
      </c>
      <c r="P79" s="77">
        <f>+'budget entry'!C103</f>
        <v>350</v>
      </c>
      <c r="Q79" s="77">
        <v>350</v>
      </c>
    </row>
    <row r="80" spans="1:18" s="195" customFormat="1" x14ac:dyDescent="0.3">
      <c r="A80" s="79" t="s">
        <v>45</v>
      </c>
      <c r="B80" s="81"/>
      <c r="C80" s="81"/>
      <c r="D80" s="81"/>
      <c r="E80" s="81"/>
      <c r="F80" s="81"/>
      <c r="G80" s="81"/>
      <c r="H80" s="81"/>
      <c r="I80" s="81"/>
      <c r="J80" s="81"/>
      <c r="K80" s="81"/>
      <c r="L80" s="81"/>
      <c r="M80" s="81"/>
      <c r="N80" s="103">
        <f t="shared" si="16"/>
        <v>0</v>
      </c>
      <c r="O80" s="286">
        <f t="shared" si="17"/>
        <v>0</v>
      </c>
      <c r="P80" s="81">
        <f>+'budget entry'!C104</f>
        <v>500</v>
      </c>
      <c r="Q80" s="81">
        <v>500</v>
      </c>
    </row>
    <row r="81" spans="1:17" s="195" customFormat="1" x14ac:dyDescent="0.3">
      <c r="A81" s="55" t="s">
        <v>20</v>
      </c>
      <c r="B81" s="60">
        <f t="shared" ref="B81:N81" si="18">SUM(B75:B80)</f>
        <v>18853.739999999998</v>
      </c>
      <c r="C81" s="60">
        <f>SUM(C75:C80)</f>
        <v>19359.02</v>
      </c>
      <c r="D81" s="60">
        <f>SUM(D75:D80)</f>
        <v>0</v>
      </c>
      <c r="E81" s="60">
        <f t="shared" si="18"/>
        <v>0</v>
      </c>
      <c r="F81" s="60">
        <f t="shared" si="18"/>
        <v>0</v>
      </c>
      <c r="G81" s="60">
        <f t="shared" si="18"/>
        <v>0</v>
      </c>
      <c r="H81" s="60">
        <f t="shared" si="18"/>
        <v>0</v>
      </c>
      <c r="I81" s="60">
        <f t="shared" si="18"/>
        <v>0</v>
      </c>
      <c r="J81" s="60">
        <f t="shared" si="18"/>
        <v>0</v>
      </c>
      <c r="K81" s="60">
        <f t="shared" si="18"/>
        <v>0</v>
      </c>
      <c r="L81" s="60">
        <f t="shared" si="18"/>
        <v>0</v>
      </c>
      <c r="M81" s="60">
        <f t="shared" si="18"/>
        <v>0</v>
      </c>
      <c r="N81" s="60">
        <f t="shared" si="18"/>
        <v>38212.759999999995</v>
      </c>
      <c r="O81" s="286">
        <f>N81/P81</f>
        <v>0.146831193077123</v>
      </c>
      <c r="P81" s="60">
        <f>SUM(P75:P80)</f>
        <v>260249.60500000001</v>
      </c>
      <c r="Q81" s="60">
        <f>SUM(Q75:Q80)</f>
        <v>257062</v>
      </c>
    </row>
    <row r="82" spans="1:17" s="195" customFormat="1" x14ac:dyDescent="0.3">
      <c r="A82" s="51"/>
      <c r="B82" s="51"/>
      <c r="C82" s="51"/>
      <c r="D82" s="51"/>
      <c r="E82" s="51"/>
      <c r="F82" s="51"/>
      <c r="G82" s="51"/>
      <c r="H82" s="51"/>
      <c r="I82" s="51"/>
      <c r="J82" s="51"/>
      <c r="K82" s="51"/>
      <c r="L82" s="51"/>
      <c r="M82" s="51"/>
      <c r="N82" s="51"/>
      <c r="O82" s="344"/>
      <c r="P82" s="51"/>
      <c r="Q82" s="51"/>
    </row>
    <row r="83" spans="1:17" s="195" customFormat="1" x14ac:dyDescent="0.3">
      <c r="A83" s="128" t="s">
        <v>131</v>
      </c>
      <c r="B83" s="51"/>
      <c r="C83" s="51"/>
      <c r="D83" s="51"/>
      <c r="E83" s="51"/>
      <c r="F83" s="51"/>
      <c r="G83" s="51"/>
      <c r="H83" s="51"/>
      <c r="I83" s="51"/>
      <c r="J83" s="51"/>
      <c r="K83" s="51"/>
      <c r="L83" s="51"/>
      <c r="M83" s="51"/>
      <c r="N83" s="51"/>
      <c r="O83" s="344"/>
      <c r="P83" s="51"/>
      <c r="Q83" s="51"/>
    </row>
    <row r="84" spans="1:17" s="195" customFormat="1" x14ac:dyDescent="0.3">
      <c r="A84" s="78" t="s">
        <v>1</v>
      </c>
      <c r="B84" s="51">
        <v>4076.35</v>
      </c>
      <c r="C84" s="51">
        <v>4076.35</v>
      </c>
      <c r="D84" s="51"/>
      <c r="E84" s="51"/>
      <c r="F84" s="51"/>
      <c r="G84" s="51"/>
      <c r="H84" s="51"/>
      <c r="I84" s="51"/>
      <c r="J84" s="51"/>
      <c r="K84" s="51"/>
      <c r="L84" s="51"/>
      <c r="M84" s="51"/>
      <c r="N84" s="79">
        <f t="shared" ref="N84:N92" si="19">SUM(B84:M84)</f>
        <v>8152.7</v>
      </c>
      <c r="O84" s="286">
        <f t="shared" ref="O84:O93" si="20">N84/P84</f>
        <v>0.16665372035977105</v>
      </c>
      <c r="P84" s="51">
        <f>+'budget entry'!C109</f>
        <v>48920</v>
      </c>
      <c r="Q84" s="51">
        <v>48920</v>
      </c>
    </row>
    <row r="85" spans="1:17" s="195" customFormat="1" x14ac:dyDescent="0.3">
      <c r="A85" s="78" t="s">
        <v>213</v>
      </c>
      <c r="B85" s="51"/>
      <c r="C85" s="51"/>
      <c r="D85" s="51"/>
      <c r="E85" s="51"/>
      <c r="F85" s="51"/>
      <c r="G85" s="51"/>
      <c r="H85" s="51"/>
      <c r="I85" s="51"/>
      <c r="J85" s="51"/>
      <c r="K85" s="51"/>
      <c r="L85" s="51"/>
      <c r="M85" s="51"/>
      <c r="N85" s="79">
        <f t="shared" si="19"/>
        <v>0</v>
      </c>
      <c r="O85" s="286">
        <f t="shared" si="20"/>
        <v>0</v>
      </c>
      <c r="P85" s="51">
        <f>+'budget entry'!C110</f>
        <v>5000</v>
      </c>
      <c r="Q85" s="51">
        <v>5000</v>
      </c>
    </row>
    <row r="86" spans="1:17" s="195" customFormat="1" x14ac:dyDescent="0.3">
      <c r="A86" s="78" t="s">
        <v>497</v>
      </c>
      <c r="B86" s="51">
        <v>1313.52</v>
      </c>
      <c r="C86" s="51">
        <v>1313.52</v>
      </c>
      <c r="D86" s="51"/>
      <c r="E86" s="51"/>
      <c r="F86" s="51"/>
      <c r="G86" s="51"/>
      <c r="H86" s="51"/>
      <c r="I86" s="51"/>
      <c r="J86" s="51"/>
      <c r="K86" s="51"/>
      <c r="L86" s="51"/>
      <c r="M86" s="51"/>
      <c r="N86" s="79">
        <f t="shared" si="19"/>
        <v>2627.04</v>
      </c>
      <c r="O86" s="286">
        <f t="shared" si="20"/>
        <v>0.14668825730079849</v>
      </c>
      <c r="P86" s="51">
        <f>+'budget entry'!C111+'budget entry'!C112+'budget entry'!C113</f>
        <v>17909</v>
      </c>
      <c r="Q86" s="51">
        <f>709+10000+612+6200</f>
        <v>17521</v>
      </c>
    </row>
    <row r="87" spans="1:17" s="195" customFormat="1" x14ac:dyDescent="0.3">
      <c r="A87" s="78" t="s">
        <v>0</v>
      </c>
      <c r="B87" s="51">
        <v>83.33</v>
      </c>
      <c r="C87" s="51"/>
      <c r="D87" s="51"/>
      <c r="E87" s="51"/>
      <c r="F87" s="51"/>
      <c r="G87" s="51"/>
      <c r="H87" s="51"/>
      <c r="I87" s="51"/>
      <c r="J87" s="51"/>
      <c r="K87" s="51"/>
      <c r="L87" s="51"/>
      <c r="M87" s="51"/>
      <c r="N87" s="79">
        <f t="shared" si="19"/>
        <v>83.33</v>
      </c>
      <c r="O87" s="286">
        <f t="shared" si="20"/>
        <v>4.1665000000000001E-2</v>
      </c>
      <c r="P87" s="51">
        <f>+'budget entry'!C114</f>
        <v>2000</v>
      </c>
      <c r="Q87" s="51">
        <v>500</v>
      </c>
    </row>
    <row r="88" spans="1:17" s="195" customFormat="1" x14ac:dyDescent="0.3">
      <c r="A88" s="78" t="s">
        <v>57</v>
      </c>
      <c r="B88" s="51"/>
      <c r="C88" s="51"/>
      <c r="D88" s="51"/>
      <c r="E88" s="51"/>
      <c r="F88" s="51"/>
      <c r="G88" s="51"/>
      <c r="H88" s="51"/>
      <c r="I88" s="51"/>
      <c r="J88" s="51"/>
      <c r="K88" s="51"/>
      <c r="L88" s="51"/>
      <c r="M88" s="51"/>
      <c r="N88" s="79">
        <f t="shared" si="19"/>
        <v>0</v>
      </c>
      <c r="O88" s="286">
        <f t="shared" si="20"/>
        <v>0</v>
      </c>
      <c r="P88" s="51">
        <f>+'budget entry'!C115</f>
        <v>2000</v>
      </c>
      <c r="Q88" s="51">
        <v>1000</v>
      </c>
    </row>
    <row r="89" spans="1:17" s="195" customFormat="1" x14ac:dyDescent="0.3">
      <c r="A89" s="78" t="s">
        <v>132</v>
      </c>
      <c r="B89" s="51"/>
      <c r="C89" s="51"/>
      <c r="D89" s="51"/>
      <c r="E89" s="51"/>
      <c r="F89" s="51"/>
      <c r="G89" s="51"/>
      <c r="H89" s="51"/>
      <c r="I89" s="51"/>
      <c r="J89" s="51"/>
      <c r="K89" s="51"/>
      <c r="L89" s="51"/>
      <c r="M89" s="51"/>
      <c r="N89" s="79">
        <f t="shared" si="19"/>
        <v>0</v>
      </c>
      <c r="O89" s="286">
        <f t="shared" si="20"/>
        <v>0</v>
      </c>
      <c r="P89" s="51">
        <f>+'budget entry'!C116</f>
        <v>200</v>
      </c>
      <c r="Q89" s="51">
        <v>200</v>
      </c>
    </row>
    <row r="90" spans="1:17" s="195" customFormat="1" x14ac:dyDescent="0.3">
      <c r="A90" s="78" t="s">
        <v>7</v>
      </c>
      <c r="B90" s="51">
        <v>174.76</v>
      </c>
      <c r="C90" s="51">
        <v>64</v>
      </c>
      <c r="D90" s="51"/>
      <c r="E90" s="51"/>
      <c r="F90" s="51"/>
      <c r="G90" s="51"/>
      <c r="H90" s="51"/>
      <c r="I90" s="51"/>
      <c r="J90" s="51"/>
      <c r="K90" s="51"/>
      <c r="L90" s="51"/>
      <c r="M90" s="51"/>
      <c r="N90" s="79">
        <f t="shared" si="19"/>
        <v>238.76</v>
      </c>
      <c r="O90" s="286">
        <f t="shared" si="20"/>
        <v>9.9483333333333326E-2</v>
      </c>
      <c r="P90" s="58">
        <f>+'budget entry'!C117</f>
        <v>2400</v>
      </c>
      <c r="Q90" s="51">
        <v>2400</v>
      </c>
    </row>
    <row r="91" spans="1:17" s="195" customFormat="1" x14ac:dyDescent="0.3">
      <c r="A91" s="78" t="s">
        <v>574</v>
      </c>
      <c r="B91" s="51">
        <v>113.33</v>
      </c>
      <c r="C91" s="51"/>
      <c r="D91" s="51"/>
      <c r="E91" s="51"/>
      <c r="F91" s="51"/>
      <c r="G91" s="51"/>
      <c r="H91" s="51"/>
      <c r="I91" s="51"/>
      <c r="J91" s="51"/>
      <c r="K91" s="51"/>
      <c r="L91" s="51"/>
      <c r="M91" s="51"/>
      <c r="N91" s="79">
        <f t="shared" si="19"/>
        <v>113.33</v>
      </c>
      <c r="O91" s="286">
        <f t="shared" si="20"/>
        <v>2.83325E-2</v>
      </c>
      <c r="P91" s="51">
        <f>+'budget entry'!C118</f>
        <v>4000</v>
      </c>
      <c r="Q91" s="51">
        <v>500</v>
      </c>
    </row>
    <row r="92" spans="1:17" s="195" customFormat="1" x14ac:dyDescent="0.3">
      <c r="A92" s="78" t="s">
        <v>133</v>
      </c>
      <c r="B92" s="63">
        <v>375.81</v>
      </c>
      <c r="C92" s="63">
        <v>196.1</v>
      </c>
      <c r="D92" s="63"/>
      <c r="E92" s="63"/>
      <c r="F92" s="63"/>
      <c r="G92" s="63"/>
      <c r="H92" s="63"/>
      <c r="I92" s="63"/>
      <c r="J92" s="63"/>
      <c r="K92" s="63"/>
      <c r="L92" s="63"/>
      <c r="M92" s="63"/>
      <c r="N92" s="103">
        <f t="shared" si="19"/>
        <v>571.91</v>
      </c>
      <c r="O92" s="286">
        <f t="shared" si="20"/>
        <v>0.16340285714285713</v>
      </c>
      <c r="P92" s="63">
        <f>+'budget entry'!C119</f>
        <v>3500</v>
      </c>
      <c r="Q92" s="63">
        <v>3300</v>
      </c>
    </row>
    <row r="93" spans="1:17" s="195" customFormat="1" x14ac:dyDescent="0.3">
      <c r="A93" s="2" t="s">
        <v>131</v>
      </c>
      <c r="B93" s="2">
        <f t="shared" ref="B93:N93" si="21">SUM(B84:B92)</f>
        <v>6137.1</v>
      </c>
      <c r="C93" s="2">
        <f t="shared" si="21"/>
        <v>5649.97</v>
      </c>
      <c r="D93" s="2">
        <f t="shared" si="21"/>
        <v>0</v>
      </c>
      <c r="E93" s="2">
        <f t="shared" si="21"/>
        <v>0</v>
      </c>
      <c r="F93" s="2">
        <f t="shared" si="21"/>
        <v>0</v>
      </c>
      <c r="G93" s="2">
        <f t="shared" si="21"/>
        <v>0</v>
      </c>
      <c r="H93" s="2">
        <f t="shared" si="21"/>
        <v>0</v>
      </c>
      <c r="I93" s="2">
        <f t="shared" si="21"/>
        <v>0</v>
      </c>
      <c r="J93" s="2">
        <f t="shared" si="21"/>
        <v>0</v>
      </c>
      <c r="K93" s="2">
        <f t="shared" si="21"/>
        <v>0</v>
      </c>
      <c r="L93" s="2">
        <f t="shared" si="21"/>
        <v>0</v>
      </c>
      <c r="M93" s="2">
        <f t="shared" si="21"/>
        <v>0</v>
      </c>
      <c r="N93" s="2">
        <f t="shared" si="21"/>
        <v>11787.07</v>
      </c>
      <c r="O93" s="286">
        <f t="shared" si="20"/>
        <v>0.13717220030490287</v>
      </c>
      <c r="P93" s="2">
        <f>SUM(P84:P92)</f>
        <v>85929</v>
      </c>
      <c r="Q93" s="2">
        <f>SUM(Q84:Q92)</f>
        <v>79341</v>
      </c>
    </row>
    <row r="94" spans="1:17" s="195" customFormat="1" ht="9.6" customHeight="1" x14ac:dyDescent="0.3">
      <c r="A94" s="51"/>
      <c r="B94" s="188"/>
      <c r="C94" s="188"/>
      <c r="D94" s="188"/>
      <c r="E94" s="188"/>
      <c r="F94" s="188"/>
      <c r="G94" s="188"/>
      <c r="H94" s="188"/>
      <c r="I94" s="188"/>
      <c r="J94" s="188"/>
      <c r="K94" s="188"/>
      <c r="L94" s="188"/>
      <c r="M94" s="188"/>
      <c r="N94" s="188"/>
      <c r="O94" s="346"/>
      <c r="P94" s="188"/>
      <c r="Q94" s="188"/>
    </row>
    <row r="95" spans="1:17" s="195" customFormat="1" x14ac:dyDescent="0.3">
      <c r="A95" s="128" t="s">
        <v>134</v>
      </c>
      <c r="B95" s="51"/>
      <c r="C95" s="51"/>
      <c r="D95" s="51"/>
      <c r="E95" s="51"/>
      <c r="F95" s="51"/>
      <c r="G95" s="51"/>
      <c r="H95" s="51"/>
      <c r="I95" s="51"/>
      <c r="J95" s="51"/>
      <c r="K95" s="51"/>
      <c r="L95" s="51"/>
      <c r="M95" s="51"/>
      <c r="N95" s="51"/>
      <c r="O95" s="344"/>
      <c r="P95" s="51"/>
      <c r="Q95" s="51"/>
    </row>
    <row r="96" spans="1:17" s="195" customFormat="1" x14ac:dyDescent="0.3">
      <c r="A96" s="78" t="s">
        <v>1</v>
      </c>
      <c r="B96" s="51">
        <v>3900.01</v>
      </c>
      <c r="C96" s="51">
        <v>1952.29</v>
      </c>
      <c r="D96" s="51"/>
      <c r="E96" s="51"/>
      <c r="F96" s="51"/>
      <c r="G96" s="51"/>
      <c r="H96" s="51"/>
      <c r="I96" s="51"/>
      <c r="J96" s="51"/>
      <c r="K96" s="51"/>
      <c r="L96" s="51"/>
      <c r="M96" s="51"/>
      <c r="N96" s="79">
        <f t="shared" ref="N96:N105" si="22">SUM(B96:M96)</f>
        <v>5852.3</v>
      </c>
      <c r="O96" s="286">
        <f t="shared" ref="O96:O106" si="23">N96/P96</f>
        <v>0.13096495546703665</v>
      </c>
      <c r="P96" s="51">
        <f>+'budget entry'!C123</f>
        <v>44686</v>
      </c>
      <c r="Q96" s="51">
        <v>30168</v>
      </c>
    </row>
    <row r="97" spans="1:18" s="195" customFormat="1" x14ac:dyDescent="0.3">
      <c r="A97" s="78" t="s">
        <v>497</v>
      </c>
      <c r="B97" s="51">
        <v>961.58</v>
      </c>
      <c r="C97" s="51">
        <v>654.67999999999995</v>
      </c>
      <c r="D97" s="51"/>
      <c r="E97" s="51"/>
      <c r="F97" s="51"/>
      <c r="G97" s="51"/>
      <c r="H97" s="51"/>
      <c r="I97" s="51"/>
      <c r="J97" s="51"/>
      <c r="K97" s="51"/>
      <c r="L97" s="51"/>
      <c r="M97" s="51"/>
      <c r="N97" s="79">
        <f t="shared" si="22"/>
        <v>1616.26</v>
      </c>
      <c r="O97" s="286">
        <f t="shared" si="23"/>
        <v>7.8596993146870894E-2</v>
      </c>
      <c r="P97" s="51">
        <f>+'budget entry'!C124+'budget entry'!C125+'budget entry'!C126</f>
        <v>20563.891</v>
      </c>
      <c r="Q97" s="51">
        <f>437+6154+377+7800</f>
        <v>14768</v>
      </c>
    </row>
    <row r="98" spans="1:18" s="195" customFormat="1" x14ac:dyDescent="0.3">
      <c r="A98" s="78" t="s">
        <v>213</v>
      </c>
      <c r="B98" s="51">
        <v>2675.34</v>
      </c>
      <c r="C98" s="51">
        <v>2639</v>
      </c>
      <c r="D98" s="51"/>
      <c r="E98" s="51"/>
      <c r="F98" s="51"/>
      <c r="G98" s="51"/>
      <c r="H98" s="51"/>
      <c r="I98" s="51"/>
      <c r="J98" s="51"/>
      <c r="K98" s="51"/>
      <c r="L98" s="51"/>
      <c r="M98" s="51"/>
      <c r="N98" s="79">
        <f t="shared" si="22"/>
        <v>5314.34</v>
      </c>
      <c r="O98" s="286">
        <f t="shared" si="23"/>
        <v>7.1625694107499055E-2</v>
      </c>
      <c r="P98" s="51">
        <f>+'budget entry'!C127</f>
        <v>74196</v>
      </c>
      <c r="Q98" s="51">
        <v>74196</v>
      </c>
      <c r="R98" s="197" t="s">
        <v>752</v>
      </c>
    </row>
    <row r="99" spans="1:18" s="195" customFormat="1" x14ac:dyDescent="0.3">
      <c r="A99" s="79" t="s">
        <v>10</v>
      </c>
      <c r="B99" s="51">
        <v>143.56</v>
      </c>
      <c r="C99" s="51"/>
      <c r="D99" s="51"/>
      <c r="E99" s="51"/>
      <c r="F99" s="51"/>
      <c r="G99" s="51"/>
      <c r="H99" s="51"/>
      <c r="I99" s="51"/>
      <c r="J99" s="51"/>
      <c r="K99" s="51"/>
      <c r="L99" s="51"/>
      <c r="M99" s="51"/>
      <c r="N99" s="79">
        <f t="shared" si="22"/>
        <v>143.56</v>
      </c>
      <c r="O99" s="286">
        <f t="shared" si="23"/>
        <v>4.7853333333333331E-2</v>
      </c>
      <c r="P99" s="51">
        <f>+'budget entry'!C128</f>
        <v>3000</v>
      </c>
      <c r="Q99" s="51">
        <v>3000</v>
      </c>
    </row>
    <row r="100" spans="1:18" s="195" customFormat="1" x14ac:dyDescent="0.3">
      <c r="A100" s="78" t="s">
        <v>8</v>
      </c>
      <c r="B100" s="51">
        <v>114</v>
      </c>
      <c r="C100" s="51">
        <v>114</v>
      </c>
      <c r="D100" s="51"/>
      <c r="E100" s="51"/>
      <c r="F100" s="51"/>
      <c r="G100" s="51"/>
      <c r="H100" s="51"/>
      <c r="I100" s="51"/>
      <c r="J100" s="51"/>
      <c r="K100" s="51"/>
      <c r="L100" s="51"/>
      <c r="M100" s="51"/>
      <c r="N100" s="79">
        <f t="shared" si="22"/>
        <v>228</v>
      </c>
      <c r="O100" s="286">
        <f t="shared" si="23"/>
        <v>6.1621621621621624E-2</v>
      </c>
      <c r="P100" s="51">
        <f>+'budget entry'!C129</f>
        <v>3700</v>
      </c>
      <c r="Q100" s="51">
        <v>3700</v>
      </c>
    </row>
    <row r="101" spans="1:18" s="195" customFormat="1" x14ac:dyDescent="0.3">
      <c r="A101" s="78" t="s">
        <v>46</v>
      </c>
      <c r="B101" s="51">
        <v>2576.6</v>
      </c>
      <c r="C101" s="51">
        <f>6953.12-2639</f>
        <v>4314.12</v>
      </c>
      <c r="D101" s="51"/>
      <c r="E101" s="51"/>
      <c r="F101" s="51"/>
      <c r="G101" s="51"/>
      <c r="H101" s="51"/>
      <c r="I101" s="51"/>
      <c r="J101" s="51"/>
      <c r="K101" s="51"/>
      <c r="L101" s="51"/>
      <c r="M101" s="51"/>
      <c r="N101" s="79">
        <f t="shared" si="22"/>
        <v>6890.7199999999993</v>
      </c>
      <c r="O101" s="286">
        <f t="shared" si="23"/>
        <v>0.27562879999999995</v>
      </c>
      <c r="P101" s="51">
        <f>+'budget entry'!C130</f>
        <v>25000</v>
      </c>
      <c r="Q101" s="51">
        <v>30000</v>
      </c>
    </row>
    <row r="102" spans="1:18" s="195" customFormat="1" x14ac:dyDescent="0.3">
      <c r="A102" s="78" t="s">
        <v>66</v>
      </c>
      <c r="B102" s="51">
        <v>1121.05</v>
      </c>
      <c r="C102" s="51">
        <v>1284.6199999999999</v>
      </c>
      <c r="D102" s="51"/>
      <c r="E102" s="51"/>
      <c r="F102" s="51"/>
      <c r="G102" s="51"/>
      <c r="H102" s="51"/>
      <c r="I102" s="51"/>
      <c r="J102" s="51"/>
      <c r="K102" s="51"/>
      <c r="L102" s="51"/>
      <c r="M102" s="51"/>
      <c r="N102" s="79">
        <f t="shared" si="22"/>
        <v>2405.67</v>
      </c>
      <c r="O102" s="286">
        <f t="shared" si="23"/>
        <v>0.1202835</v>
      </c>
      <c r="P102" s="460">
        <f>+'budget entry'!C131</f>
        <v>20000</v>
      </c>
      <c r="Q102" s="51">
        <v>22000</v>
      </c>
    </row>
    <row r="103" spans="1:18" s="195" customFormat="1" x14ac:dyDescent="0.3">
      <c r="A103" s="78" t="s">
        <v>670</v>
      </c>
      <c r="B103" s="51">
        <v>0</v>
      </c>
      <c r="C103" s="51">
        <v>1134.57</v>
      </c>
      <c r="D103" s="51"/>
      <c r="E103" s="51"/>
      <c r="F103" s="51"/>
      <c r="G103" s="51"/>
      <c r="H103" s="51"/>
      <c r="I103" s="51"/>
      <c r="J103" s="51"/>
      <c r="K103" s="51"/>
      <c r="L103" s="51"/>
      <c r="M103" s="51"/>
      <c r="N103" s="79">
        <f t="shared" si="22"/>
        <v>1134.57</v>
      </c>
      <c r="O103" s="286"/>
      <c r="P103" s="460">
        <f>+'budget entry'!C132</f>
        <v>22025</v>
      </c>
      <c r="Q103" s="51"/>
    </row>
    <row r="104" spans="1:18" s="195" customFormat="1" x14ac:dyDescent="0.3">
      <c r="A104" s="78" t="s">
        <v>65</v>
      </c>
      <c r="B104" s="51">
        <v>425.5</v>
      </c>
      <c r="C104" s="51">
        <v>329.52</v>
      </c>
      <c r="D104" s="51"/>
      <c r="E104" s="51"/>
      <c r="F104" s="51"/>
      <c r="G104" s="51"/>
      <c r="H104" s="51"/>
      <c r="I104" s="51"/>
      <c r="J104" s="51"/>
      <c r="K104" s="51"/>
      <c r="L104" s="51"/>
      <c r="M104" s="51"/>
      <c r="N104" s="79">
        <f t="shared" si="22"/>
        <v>755.02</v>
      </c>
      <c r="O104" s="286">
        <f t="shared" si="23"/>
        <v>1.51004E-2</v>
      </c>
      <c r="P104" s="51">
        <f>+'budget entry'!C133</f>
        <v>50000</v>
      </c>
      <c r="Q104" s="51">
        <v>50000</v>
      </c>
      <c r="R104" s="474"/>
    </row>
    <row r="105" spans="1:18" s="195" customFormat="1" x14ac:dyDescent="0.3">
      <c r="A105" s="78" t="s">
        <v>9</v>
      </c>
      <c r="B105" s="63">
        <v>5722.06</v>
      </c>
      <c r="C105" s="63">
        <v>7076.85</v>
      </c>
      <c r="D105" s="63"/>
      <c r="E105" s="63"/>
      <c r="F105" s="63"/>
      <c r="G105" s="63"/>
      <c r="H105" s="63"/>
      <c r="I105" s="63"/>
      <c r="J105" s="63"/>
      <c r="K105" s="63"/>
      <c r="L105" s="63"/>
      <c r="M105" s="63"/>
      <c r="N105" s="103">
        <f t="shared" si="22"/>
        <v>12798.91</v>
      </c>
      <c r="O105" s="286">
        <f t="shared" si="23"/>
        <v>0.13222014462809917</v>
      </c>
      <c r="P105" s="63">
        <f>+'budget entry'!C134</f>
        <v>96800</v>
      </c>
      <c r="Q105" s="63">
        <v>96800</v>
      </c>
      <c r="R105" s="195" t="s">
        <v>15</v>
      </c>
    </row>
    <row r="106" spans="1:18" s="195" customFormat="1" x14ac:dyDescent="0.3">
      <c r="A106" s="55" t="s">
        <v>134</v>
      </c>
      <c r="B106" s="2">
        <f t="shared" ref="B106:N106" si="24">SUM(B96:B105)</f>
        <v>17639.7</v>
      </c>
      <c r="C106" s="2">
        <f t="shared" si="24"/>
        <v>19499.650000000001</v>
      </c>
      <c r="D106" s="2">
        <f t="shared" si="24"/>
        <v>0</v>
      </c>
      <c r="E106" s="2">
        <f t="shared" si="24"/>
        <v>0</v>
      </c>
      <c r="F106" s="2">
        <f t="shared" si="24"/>
        <v>0</v>
      </c>
      <c r="G106" s="2">
        <f t="shared" si="24"/>
        <v>0</v>
      </c>
      <c r="H106" s="2">
        <f t="shared" si="24"/>
        <v>0</v>
      </c>
      <c r="I106" s="2">
        <f t="shared" si="24"/>
        <v>0</v>
      </c>
      <c r="J106" s="2">
        <f t="shared" si="24"/>
        <v>0</v>
      </c>
      <c r="K106" s="2">
        <f t="shared" si="24"/>
        <v>0</v>
      </c>
      <c r="L106" s="2">
        <f t="shared" si="24"/>
        <v>0</v>
      </c>
      <c r="M106" s="2">
        <f t="shared" si="24"/>
        <v>0</v>
      </c>
      <c r="N106" s="2">
        <f t="shared" si="24"/>
        <v>37139.35</v>
      </c>
      <c r="O106" s="286">
        <f t="shared" si="23"/>
        <v>0.10317320352439274</v>
      </c>
      <c r="P106" s="2">
        <f>SUM(P96:P105)</f>
        <v>359970.891</v>
      </c>
      <c r="Q106" s="2">
        <f>SUM(Q96:Q105)</f>
        <v>324632</v>
      </c>
    </row>
    <row r="107" spans="1:18" s="195" customFormat="1" x14ac:dyDescent="0.3">
      <c r="A107" s="51"/>
      <c r="B107" s="51"/>
      <c r="C107" s="51"/>
      <c r="D107" s="51"/>
      <c r="E107" s="51"/>
      <c r="F107" s="51"/>
      <c r="G107" s="51"/>
      <c r="H107" s="51"/>
      <c r="I107" s="51"/>
      <c r="J107" s="51"/>
      <c r="K107" s="51"/>
      <c r="L107" s="51"/>
      <c r="M107" s="51"/>
      <c r="N107" s="51"/>
      <c r="O107" s="344"/>
      <c r="P107" s="51"/>
      <c r="Q107" s="51"/>
    </row>
    <row r="108" spans="1:18" s="195" customFormat="1" x14ac:dyDescent="0.3">
      <c r="A108" s="128" t="s">
        <v>236</v>
      </c>
      <c r="B108" s="51"/>
      <c r="C108" s="51"/>
      <c r="D108" s="51"/>
      <c r="E108" s="51"/>
      <c r="F108" s="51"/>
      <c r="G108" s="51"/>
      <c r="H108" s="51"/>
      <c r="I108" s="51"/>
      <c r="J108" s="51"/>
      <c r="K108" s="51"/>
      <c r="L108" s="51"/>
      <c r="M108" s="51"/>
      <c r="N108" s="51"/>
      <c r="O108" s="344"/>
      <c r="P108" s="51"/>
      <c r="Q108" s="51"/>
    </row>
    <row r="109" spans="1:18" s="195" customFormat="1" x14ac:dyDescent="0.3">
      <c r="A109" s="78" t="s">
        <v>1</v>
      </c>
      <c r="B109" s="51"/>
      <c r="C109" s="51">
        <v>1643.57</v>
      </c>
      <c r="D109" s="51"/>
      <c r="E109" s="51"/>
      <c r="F109" s="51"/>
      <c r="G109" s="51"/>
      <c r="H109" s="51"/>
      <c r="I109" s="51"/>
      <c r="J109" s="51"/>
      <c r="K109" s="51"/>
      <c r="L109" s="51"/>
      <c r="M109" s="51"/>
      <c r="N109" s="79">
        <f>SUM(B109:M109)</f>
        <v>1643.57</v>
      </c>
      <c r="O109" s="286">
        <f>N109/P109</f>
        <v>0.13148560000000001</v>
      </c>
      <c r="P109" s="51">
        <f>+'budget entry'!C138</f>
        <v>12500</v>
      </c>
      <c r="Q109" s="51">
        <v>16000</v>
      </c>
    </row>
    <row r="110" spans="1:18" s="195" customFormat="1" x14ac:dyDescent="0.3">
      <c r="A110" s="78" t="s">
        <v>497</v>
      </c>
      <c r="B110" s="51"/>
      <c r="C110" s="51">
        <v>360.84</v>
      </c>
      <c r="D110" s="51"/>
      <c r="E110" s="51"/>
      <c r="F110" s="51"/>
      <c r="G110" s="51"/>
      <c r="H110" s="51"/>
      <c r="I110" s="51"/>
      <c r="J110" s="51"/>
      <c r="K110" s="51"/>
      <c r="L110" s="51"/>
      <c r="M110" s="51"/>
      <c r="N110" s="79">
        <f>SUM(B110:M110)</f>
        <v>360.84</v>
      </c>
      <c r="O110" s="286">
        <f>N110/P110</f>
        <v>0.13211533180778032</v>
      </c>
      <c r="P110" s="51">
        <f>+'budget entry'!C139+'budget entry'!C140</f>
        <v>2731.25</v>
      </c>
      <c r="Q110" s="51">
        <f>232+3264+320</f>
        <v>3816</v>
      </c>
    </row>
    <row r="111" spans="1:18" s="195" customFormat="1" x14ac:dyDescent="0.3">
      <c r="A111" s="78" t="s">
        <v>479</v>
      </c>
      <c r="B111" s="51">
        <v>204.48</v>
      </c>
      <c r="C111" s="51">
        <v>236.01</v>
      </c>
      <c r="D111" s="51"/>
      <c r="E111" s="51"/>
      <c r="F111" s="51"/>
      <c r="G111" s="51"/>
      <c r="H111" s="51"/>
      <c r="I111" s="51"/>
      <c r="J111" s="51"/>
      <c r="K111" s="51"/>
      <c r="L111" s="51"/>
      <c r="M111" s="51"/>
      <c r="N111" s="79">
        <f>SUM(B111:M111)</f>
        <v>440.49</v>
      </c>
      <c r="O111" s="286">
        <f>N111/P111</f>
        <v>8.8097999999999996E-2</v>
      </c>
      <c r="P111" s="460">
        <f>+'budget entry'!C141</f>
        <v>5000</v>
      </c>
      <c r="Q111" s="51">
        <v>5000</v>
      </c>
    </row>
    <row r="112" spans="1:18" s="195" customFormat="1" x14ac:dyDescent="0.3">
      <c r="A112" s="79" t="s">
        <v>241</v>
      </c>
      <c r="B112" s="63">
        <v>750.16</v>
      </c>
      <c r="C112" s="63">
        <v>30</v>
      </c>
      <c r="D112" s="63"/>
      <c r="E112" s="63"/>
      <c r="F112" s="63"/>
      <c r="G112" s="63"/>
      <c r="H112" s="63"/>
      <c r="I112" s="63"/>
      <c r="J112" s="63"/>
      <c r="K112" s="63"/>
      <c r="L112" s="63"/>
      <c r="M112" s="63"/>
      <c r="N112" s="103">
        <f>SUM(B112:M112)</f>
        <v>780.16</v>
      </c>
      <c r="O112" s="286">
        <f>N112/P112</f>
        <v>9.7519999999999996E-2</v>
      </c>
      <c r="P112" s="63">
        <f>+'budget entry'!C142</f>
        <v>8000</v>
      </c>
      <c r="Q112" s="63">
        <v>8000</v>
      </c>
    </row>
    <row r="113" spans="1:17" s="195" customFormat="1" x14ac:dyDescent="0.3">
      <c r="A113" s="55" t="s">
        <v>236</v>
      </c>
      <c r="B113" s="46">
        <f>SUM(B109:B112)</f>
        <v>954.64</v>
      </c>
      <c r="C113" s="46">
        <f>SUM(C109:C112)</f>
        <v>2270.42</v>
      </c>
      <c r="D113" s="46">
        <f>SUM(D109:D112)</f>
        <v>0</v>
      </c>
      <c r="E113" s="46">
        <f>SUM(E109:E112)</f>
        <v>0</v>
      </c>
      <c r="F113" s="46">
        <f t="shared" ref="F113:M113" si="25">SUM(F109:F112)</f>
        <v>0</v>
      </c>
      <c r="G113" s="46">
        <f t="shared" si="25"/>
        <v>0</v>
      </c>
      <c r="H113" s="46">
        <f t="shared" si="25"/>
        <v>0</v>
      </c>
      <c r="I113" s="46">
        <f t="shared" si="25"/>
        <v>0</v>
      </c>
      <c r="J113" s="46">
        <f t="shared" si="25"/>
        <v>0</v>
      </c>
      <c r="K113" s="46">
        <f t="shared" si="25"/>
        <v>0</v>
      </c>
      <c r="L113" s="46">
        <f t="shared" si="25"/>
        <v>0</v>
      </c>
      <c r="M113" s="46">
        <f t="shared" si="25"/>
        <v>0</v>
      </c>
      <c r="N113" s="46">
        <f>SUM(N109:N112)</f>
        <v>3225.0599999999995</v>
      </c>
      <c r="O113" s="286">
        <f>N113/P113</f>
        <v>0.11423723710427273</v>
      </c>
      <c r="P113" s="46">
        <f>SUM(P109:P112)</f>
        <v>28231.25</v>
      </c>
      <c r="Q113" s="87">
        <f>SUM(Q109:Q112)</f>
        <v>32816</v>
      </c>
    </row>
    <row r="114" spans="1:17" s="195" customFormat="1" x14ac:dyDescent="0.3">
      <c r="A114" s="51"/>
      <c r="B114" s="58"/>
      <c r="C114" s="58"/>
      <c r="D114" s="58"/>
      <c r="E114" s="58"/>
      <c r="F114" s="58"/>
      <c r="G114" s="58"/>
      <c r="H114" s="58"/>
      <c r="I114" s="58"/>
      <c r="J114" s="58"/>
      <c r="K114" s="58"/>
      <c r="L114" s="58"/>
      <c r="M114" s="58"/>
      <c r="N114" s="58"/>
      <c r="O114" s="344"/>
      <c r="P114" s="58"/>
      <c r="Q114" s="58"/>
    </row>
    <row r="115" spans="1:17" s="195" customFormat="1" x14ac:dyDescent="0.3">
      <c r="A115" s="128" t="s">
        <v>575</v>
      </c>
      <c r="B115" s="51"/>
      <c r="C115" s="51"/>
      <c r="D115" s="51"/>
      <c r="E115" s="51"/>
      <c r="F115" s="51"/>
      <c r="G115" s="51"/>
      <c r="H115" s="51"/>
      <c r="I115" s="51"/>
      <c r="J115" s="51"/>
      <c r="K115" s="51"/>
      <c r="L115" s="51"/>
      <c r="M115" s="51"/>
      <c r="N115" s="51"/>
      <c r="O115" s="344"/>
      <c r="P115" s="51"/>
      <c r="Q115" s="58"/>
    </row>
    <row r="116" spans="1:17" s="195" customFormat="1" x14ac:dyDescent="0.3">
      <c r="A116" s="78" t="s">
        <v>480</v>
      </c>
      <c r="B116" s="51">
        <v>7544.18</v>
      </c>
      <c r="C116" s="51">
        <f>2275.5+30.79</f>
        <v>2306.29</v>
      </c>
      <c r="D116" s="51"/>
      <c r="E116" s="51"/>
      <c r="F116" s="51"/>
      <c r="G116" s="51"/>
      <c r="H116" s="51"/>
      <c r="I116" s="51"/>
      <c r="J116" s="51"/>
      <c r="K116" s="51"/>
      <c r="L116" s="51"/>
      <c r="M116" s="51"/>
      <c r="N116" s="79">
        <f t="shared" ref="N116:N122" si="26">SUM(B116:M116)</f>
        <v>9850.4700000000012</v>
      </c>
      <c r="O116" s="286">
        <f t="shared" ref="O116:O122" si="27">N116/P116</f>
        <v>0.19700940000000003</v>
      </c>
      <c r="P116" s="51">
        <f>+'budget entry'!C146</f>
        <v>50000</v>
      </c>
      <c r="Q116" s="58">
        <v>50000</v>
      </c>
    </row>
    <row r="117" spans="1:17" s="195" customFormat="1" x14ac:dyDescent="0.3">
      <c r="A117" s="78" t="s">
        <v>228</v>
      </c>
      <c r="B117" s="51">
        <v>3625</v>
      </c>
      <c r="C117" s="51">
        <v>3625</v>
      </c>
      <c r="D117" s="51"/>
      <c r="E117" s="51"/>
      <c r="F117" s="51"/>
      <c r="G117" s="51"/>
      <c r="H117" s="51"/>
      <c r="I117" s="51"/>
      <c r="J117" s="51"/>
      <c r="K117" s="51"/>
      <c r="L117" s="51"/>
      <c r="M117" s="51"/>
      <c r="N117" s="79">
        <f t="shared" si="26"/>
        <v>7250</v>
      </c>
      <c r="O117" s="286">
        <f t="shared" si="27"/>
        <v>0.13181818181818181</v>
      </c>
      <c r="P117" s="51">
        <f>+'budget entry'!C147</f>
        <v>55000</v>
      </c>
      <c r="Q117" s="58">
        <v>50000</v>
      </c>
    </row>
    <row r="118" spans="1:17" s="195" customFormat="1" x14ac:dyDescent="0.3">
      <c r="A118" s="78" t="s">
        <v>47</v>
      </c>
      <c r="B118" s="51"/>
      <c r="C118" s="51">
        <v>646.6</v>
      </c>
      <c r="D118" s="51"/>
      <c r="E118" s="51"/>
      <c r="F118" s="51"/>
      <c r="G118" s="51"/>
      <c r="H118" s="51"/>
      <c r="I118" s="51"/>
      <c r="J118" s="51"/>
      <c r="K118" s="51"/>
      <c r="L118" s="51"/>
      <c r="M118" s="51"/>
      <c r="N118" s="79">
        <f t="shared" si="26"/>
        <v>646.6</v>
      </c>
      <c r="O118" s="286">
        <f t="shared" si="27"/>
        <v>2.4869230769230768E-2</v>
      </c>
      <c r="P118" s="51">
        <f>+'budget entry'!C148</f>
        <v>26000</v>
      </c>
      <c r="Q118" s="58">
        <v>26000</v>
      </c>
    </row>
    <row r="119" spans="1:17" s="195" customFormat="1" x14ac:dyDescent="0.3">
      <c r="A119" s="78" t="s">
        <v>11</v>
      </c>
      <c r="B119" s="51">
        <v>1074.27</v>
      </c>
      <c r="C119" s="51">
        <v>1679.86</v>
      </c>
      <c r="D119" s="51"/>
      <c r="E119" s="51"/>
      <c r="F119" s="51"/>
      <c r="G119" s="51"/>
      <c r="H119" s="51"/>
      <c r="I119" s="51"/>
      <c r="J119" s="51"/>
      <c r="K119" s="51"/>
      <c r="L119" s="51"/>
      <c r="M119" s="51"/>
      <c r="N119" s="79">
        <f t="shared" si="26"/>
        <v>2754.13</v>
      </c>
      <c r="O119" s="286">
        <f t="shared" si="27"/>
        <v>0.1101652</v>
      </c>
      <c r="P119" s="51">
        <f>+'budget entry'!C149</f>
        <v>25000</v>
      </c>
      <c r="Q119" s="58">
        <v>25000</v>
      </c>
    </row>
    <row r="120" spans="1:17" s="195" customFormat="1" x14ac:dyDescent="0.3">
      <c r="A120" s="78" t="s">
        <v>12</v>
      </c>
      <c r="B120" s="51">
        <v>69.3</v>
      </c>
      <c r="C120" s="51">
        <v>141.75</v>
      </c>
      <c r="D120" s="51"/>
      <c r="E120" s="51"/>
      <c r="F120" s="51"/>
      <c r="G120" s="51"/>
      <c r="H120" s="51"/>
      <c r="I120" s="51"/>
      <c r="J120" s="51"/>
      <c r="K120" s="51"/>
      <c r="L120" s="51"/>
      <c r="M120" s="51"/>
      <c r="N120" s="79">
        <f t="shared" si="26"/>
        <v>211.05</v>
      </c>
      <c r="O120" s="286">
        <f t="shared" si="27"/>
        <v>7.035000000000001E-2</v>
      </c>
      <c r="P120" s="51">
        <f>+'budget entry'!C150</f>
        <v>3000</v>
      </c>
      <c r="Q120" s="58">
        <v>3000</v>
      </c>
    </row>
    <row r="121" spans="1:17" s="195" customFormat="1" x14ac:dyDescent="0.3">
      <c r="A121" s="78" t="s">
        <v>13</v>
      </c>
      <c r="B121" s="51"/>
      <c r="C121" s="51"/>
      <c r="D121" s="51"/>
      <c r="E121" s="51"/>
      <c r="F121" s="51"/>
      <c r="G121" s="51"/>
      <c r="H121" s="51"/>
      <c r="I121" s="51"/>
      <c r="J121" s="51"/>
      <c r="K121" s="51"/>
      <c r="L121" s="51"/>
      <c r="M121" s="51"/>
      <c r="N121" s="79">
        <f t="shared" si="26"/>
        <v>0</v>
      </c>
      <c r="O121" s="286">
        <f t="shared" si="27"/>
        <v>0</v>
      </c>
      <c r="P121" s="460">
        <f>+'budget entry'!C151</f>
        <v>6500</v>
      </c>
      <c r="Q121" s="58">
        <v>6500</v>
      </c>
    </row>
    <row r="122" spans="1:17" s="195" customFormat="1" x14ac:dyDescent="0.3">
      <c r="A122" s="78" t="s">
        <v>64</v>
      </c>
      <c r="B122" s="63">
        <v>754.12</v>
      </c>
      <c r="C122" s="63">
        <v>870</v>
      </c>
      <c r="D122" s="63"/>
      <c r="E122" s="63"/>
      <c r="F122" s="63"/>
      <c r="G122" s="63"/>
      <c r="H122" s="63"/>
      <c r="I122" s="63"/>
      <c r="J122" s="63"/>
      <c r="K122" s="63"/>
      <c r="L122" s="63"/>
      <c r="M122" s="63"/>
      <c r="N122" s="103">
        <f t="shared" si="26"/>
        <v>1624.12</v>
      </c>
      <c r="O122" s="286">
        <f t="shared" si="27"/>
        <v>7.8840776699029128E-2</v>
      </c>
      <c r="P122" s="63">
        <f>+'budget entry'!C152</f>
        <v>20600</v>
      </c>
      <c r="Q122" s="63">
        <v>20600</v>
      </c>
    </row>
    <row r="123" spans="1:17" s="195" customFormat="1" x14ac:dyDescent="0.3">
      <c r="A123" s="2" t="s">
        <v>575</v>
      </c>
      <c r="B123" s="105">
        <f t="shared" ref="B123:N123" si="28">SUM(B116:B122)</f>
        <v>13066.87</v>
      </c>
      <c r="C123" s="105">
        <f>SUM(C116:C122)</f>
        <v>9269.5</v>
      </c>
      <c r="D123" s="105">
        <f>SUM(D116:D122)</f>
        <v>0</v>
      </c>
      <c r="E123" s="105">
        <f t="shared" si="28"/>
        <v>0</v>
      </c>
      <c r="F123" s="105">
        <f t="shared" si="28"/>
        <v>0</v>
      </c>
      <c r="G123" s="105">
        <f t="shared" si="28"/>
        <v>0</v>
      </c>
      <c r="H123" s="105">
        <f t="shared" si="28"/>
        <v>0</v>
      </c>
      <c r="I123" s="105">
        <f t="shared" si="28"/>
        <v>0</v>
      </c>
      <c r="J123" s="105">
        <f t="shared" si="28"/>
        <v>0</v>
      </c>
      <c r="K123" s="105">
        <f t="shared" si="28"/>
        <v>0</v>
      </c>
      <c r="L123" s="105">
        <f t="shared" si="28"/>
        <v>0</v>
      </c>
      <c r="M123" s="105">
        <f t="shared" si="28"/>
        <v>0</v>
      </c>
      <c r="N123" s="105">
        <f t="shared" si="28"/>
        <v>22336.37</v>
      </c>
      <c r="O123" s="286">
        <f>N123/P123</f>
        <v>0.1200234819989253</v>
      </c>
      <c r="P123" s="105">
        <f>SUM(P116:P122)</f>
        <v>186100</v>
      </c>
      <c r="Q123" s="105">
        <f>SUM(Q116:Q122)</f>
        <v>181100</v>
      </c>
    </row>
    <row r="124" spans="1:17" s="195" customFormat="1" x14ac:dyDescent="0.3">
      <c r="A124" s="51"/>
      <c r="B124" s="188"/>
      <c r="C124" s="188"/>
      <c r="D124" s="188"/>
      <c r="E124" s="188"/>
      <c r="F124" s="188"/>
      <c r="G124" s="375"/>
      <c r="H124" s="375"/>
      <c r="I124" s="375"/>
      <c r="J124" s="375"/>
      <c r="K124" s="375"/>
      <c r="L124" s="375"/>
      <c r="M124" s="375"/>
      <c r="N124" s="375"/>
      <c r="O124" s="346"/>
      <c r="P124" s="375"/>
      <c r="Q124" s="375"/>
    </row>
    <row r="125" spans="1:17" s="195" customFormat="1" x14ac:dyDescent="0.3">
      <c r="A125" s="128" t="s">
        <v>706</v>
      </c>
      <c r="B125" s="51"/>
      <c r="C125" s="51"/>
      <c r="D125" s="51"/>
      <c r="E125" s="51"/>
      <c r="F125" s="51"/>
      <c r="G125" s="51"/>
      <c r="H125" s="51"/>
      <c r="I125" s="51"/>
      <c r="J125" s="51"/>
      <c r="K125" s="51"/>
      <c r="L125" s="51"/>
      <c r="M125" s="51"/>
      <c r="N125" s="51"/>
      <c r="O125" s="339"/>
      <c r="P125" s="51"/>
      <c r="Q125" s="51"/>
    </row>
    <row r="126" spans="1:17" s="195" customFormat="1" x14ac:dyDescent="0.3">
      <c r="A126" s="78" t="s">
        <v>1</v>
      </c>
      <c r="B126" s="51"/>
      <c r="C126" s="51">
        <v>1313.56</v>
      </c>
      <c r="D126" s="51"/>
      <c r="E126" s="51"/>
      <c r="F126" s="51"/>
      <c r="G126" s="51"/>
      <c r="H126" s="51"/>
      <c r="I126" s="51"/>
      <c r="J126" s="51"/>
      <c r="K126" s="51"/>
      <c r="L126" s="51"/>
      <c r="M126" s="51"/>
      <c r="N126" s="332">
        <f>SUM(B126:M126)</f>
        <v>1313.56</v>
      </c>
      <c r="O126" s="339">
        <f>N126/P126</f>
        <v>4.2118831564433898E-2</v>
      </c>
      <c r="P126" s="51">
        <f>+'budget entry'!C156</f>
        <v>31187</v>
      </c>
      <c r="Q126" s="51"/>
    </row>
    <row r="127" spans="1:17" s="195" customFormat="1" x14ac:dyDescent="0.3">
      <c r="A127" s="78" t="s">
        <v>497</v>
      </c>
      <c r="B127" s="51"/>
      <c r="C127" s="51">
        <v>436.75</v>
      </c>
      <c r="D127" s="51"/>
      <c r="E127" s="51"/>
      <c r="F127" s="51"/>
      <c r="G127" s="51"/>
      <c r="H127" s="51"/>
      <c r="I127" s="51"/>
      <c r="J127" s="51"/>
      <c r="K127" s="51"/>
      <c r="L127" s="51"/>
      <c r="M127" s="51"/>
      <c r="N127" s="332">
        <f>SUM(B127:M127)</f>
        <v>436.75</v>
      </c>
      <c r="O127" s="339">
        <f>N127/P127</f>
        <v>2.2485070016474464E-2</v>
      </c>
      <c r="P127" s="51">
        <f>+'budget entry'!C157+'budget entry'!C158+'budget entry'!C159</f>
        <v>19424</v>
      </c>
      <c r="Q127" s="51"/>
    </row>
    <row r="128" spans="1:17" s="195" customFormat="1" x14ac:dyDescent="0.3">
      <c r="A128" s="78" t="s">
        <v>503</v>
      </c>
      <c r="B128" s="63"/>
      <c r="C128" s="63">
        <v>71.61</v>
      </c>
      <c r="D128" s="63"/>
      <c r="E128" s="63"/>
      <c r="F128" s="63"/>
      <c r="G128" s="63"/>
      <c r="H128" s="63"/>
      <c r="I128" s="63"/>
      <c r="J128" s="63"/>
      <c r="K128" s="63"/>
      <c r="L128" s="63"/>
      <c r="M128" s="63"/>
      <c r="N128" s="334">
        <f>SUM(B128:M128)</f>
        <v>71.61</v>
      </c>
      <c r="O128" s="339">
        <f>N128/P128</f>
        <v>5.1150000000000001E-2</v>
      </c>
      <c r="P128" s="461">
        <f>+'budget entry'!C160</f>
        <v>1400</v>
      </c>
      <c r="Q128" s="63"/>
    </row>
    <row r="129" spans="1:18" s="195" customFormat="1" x14ac:dyDescent="0.3">
      <c r="A129" s="60" t="s">
        <v>729</v>
      </c>
      <c r="B129" s="87">
        <f t="shared" ref="B129:N129" si="29">SUM(B126:B128)</f>
        <v>0</v>
      </c>
      <c r="C129" s="87">
        <f t="shared" si="29"/>
        <v>1821.9199999999998</v>
      </c>
      <c r="D129" s="87">
        <f t="shared" si="29"/>
        <v>0</v>
      </c>
      <c r="E129" s="87">
        <f t="shared" si="29"/>
        <v>0</v>
      </c>
      <c r="F129" s="87">
        <f t="shared" si="29"/>
        <v>0</v>
      </c>
      <c r="G129" s="87">
        <f t="shared" si="29"/>
        <v>0</v>
      </c>
      <c r="H129" s="87">
        <f t="shared" si="29"/>
        <v>0</v>
      </c>
      <c r="I129" s="87">
        <f t="shared" si="29"/>
        <v>0</v>
      </c>
      <c r="J129" s="87">
        <f t="shared" si="29"/>
        <v>0</v>
      </c>
      <c r="K129" s="87">
        <f t="shared" si="29"/>
        <v>0</v>
      </c>
      <c r="L129" s="87">
        <f t="shared" si="29"/>
        <v>0</v>
      </c>
      <c r="M129" s="87">
        <f t="shared" si="29"/>
        <v>0</v>
      </c>
      <c r="N129" s="87">
        <f t="shared" si="29"/>
        <v>1821.9199999999998</v>
      </c>
      <c r="O129" s="339">
        <f>N129/P129</f>
        <v>3.5029512987637228E-2</v>
      </c>
      <c r="P129" s="87">
        <f>SUM(P126:P128)</f>
        <v>52011</v>
      </c>
      <c r="Q129" s="87">
        <f>SUM(Q126:Q128)</f>
        <v>0</v>
      </c>
    </row>
    <row r="130" spans="1:18" s="195" customFormat="1" x14ac:dyDescent="0.3">
      <c r="A130" s="51"/>
      <c r="B130" s="188"/>
      <c r="C130" s="188"/>
      <c r="D130" s="188"/>
      <c r="E130" s="188"/>
      <c r="F130" s="188"/>
      <c r="G130" s="375"/>
      <c r="H130" s="375"/>
      <c r="I130" s="375"/>
      <c r="J130" s="375"/>
      <c r="K130" s="375"/>
      <c r="L130" s="375"/>
      <c r="M130" s="375"/>
      <c r="N130" s="375"/>
      <c r="O130" s="346"/>
      <c r="P130" s="375"/>
      <c r="Q130" s="375"/>
    </row>
    <row r="131" spans="1:18" s="195" customFormat="1" x14ac:dyDescent="0.3">
      <c r="A131" s="60" t="s">
        <v>481</v>
      </c>
      <c r="B131" s="84">
        <v>29630</v>
      </c>
      <c r="C131" s="84">
        <v>29630.16</v>
      </c>
      <c r="D131" s="87"/>
      <c r="E131" s="87"/>
      <c r="F131" s="87"/>
      <c r="G131" s="87"/>
      <c r="H131" s="87"/>
      <c r="I131" s="87"/>
      <c r="J131" s="87"/>
      <c r="K131" s="87"/>
      <c r="L131" s="87"/>
      <c r="M131" s="87"/>
      <c r="N131" s="103">
        <f>SUM(B131:M131)</f>
        <v>59260.160000000003</v>
      </c>
      <c r="O131" s="286">
        <f>N131/P131</f>
        <v>0.19797733589908062</v>
      </c>
      <c r="P131" s="87">
        <f>+'budget entry'!C165</f>
        <v>299328</v>
      </c>
      <c r="Q131" s="87">
        <v>370000</v>
      </c>
    </row>
    <row r="132" spans="1:18" s="195" customFormat="1" x14ac:dyDescent="0.3">
      <c r="A132" s="60"/>
      <c r="B132" s="87"/>
      <c r="C132" s="87"/>
      <c r="D132" s="87"/>
      <c r="E132" s="87"/>
      <c r="F132" s="87"/>
      <c r="G132" s="87"/>
      <c r="H132" s="87"/>
      <c r="I132" s="87"/>
      <c r="J132" s="87"/>
      <c r="K132" s="87"/>
      <c r="L132" s="87"/>
      <c r="M132" s="87"/>
      <c r="N132" s="79"/>
      <c r="O132" s="286"/>
      <c r="P132" s="87"/>
      <c r="Q132" s="87"/>
    </row>
    <row r="133" spans="1:18" s="195" customFormat="1" x14ac:dyDescent="0.3">
      <c r="A133" s="60" t="s">
        <v>612</v>
      </c>
      <c r="B133" s="128">
        <v>20.2</v>
      </c>
      <c r="C133" s="128">
        <v>846.3</v>
      </c>
      <c r="D133" s="128"/>
      <c r="E133" s="128"/>
      <c r="F133" s="128"/>
      <c r="G133" s="128"/>
      <c r="H133" s="128"/>
      <c r="I133" s="128"/>
      <c r="J133" s="128"/>
      <c r="K133" s="128"/>
      <c r="L133" s="128"/>
      <c r="M133" s="128"/>
      <c r="N133" s="395">
        <f>SUM(B133:M133)</f>
        <v>866.5</v>
      </c>
      <c r="O133" s="286"/>
      <c r="P133" s="84">
        <f>+'budget entry'!C163</f>
        <v>118230</v>
      </c>
      <c r="Q133" s="84"/>
      <c r="R133" s="401">
        <v>0</v>
      </c>
    </row>
    <row r="134" spans="1:18" x14ac:dyDescent="0.3">
      <c r="A134" s="306" t="s">
        <v>600</v>
      </c>
      <c r="B134" s="413">
        <f t="shared" ref="B134:M134" si="30">+B131+B123+B113+B106+B93+B81+B72+B59+B49+B39+B133+B129</f>
        <v>315365.48000000004</v>
      </c>
      <c r="C134" s="413">
        <f t="shared" si="30"/>
        <v>317838.3</v>
      </c>
      <c r="D134" s="413">
        <f t="shared" si="30"/>
        <v>0</v>
      </c>
      <c r="E134" s="413">
        <f t="shared" si="30"/>
        <v>0</v>
      </c>
      <c r="F134" s="413">
        <f t="shared" si="30"/>
        <v>0</v>
      </c>
      <c r="G134" s="413">
        <f t="shared" si="30"/>
        <v>0</v>
      </c>
      <c r="H134" s="413">
        <f t="shared" si="30"/>
        <v>0</v>
      </c>
      <c r="I134" s="413">
        <f t="shared" si="30"/>
        <v>0</v>
      </c>
      <c r="J134" s="413">
        <f t="shared" si="30"/>
        <v>0</v>
      </c>
      <c r="K134" s="413">
        <f t="shared" si="30"/>
        <v>0</v>
      </c>
      <c r="L134" s="413">
        <f t="shared" si="30"/>
        <v>0</v>
      </c>
      <c r="M134" s="413">
        <f t="shared" si="30"/>
        <v>0</v>
      </c>
      <c r="N134" s="413">
        <f>+N131+N123+N113+N106+N93+N81+N72+N59+N49+N39+N133+N129</f>
        <v>633203.78000000014</v>
      </c>
      <c r="O134" s="286">
        <f>N134/P134</f>
        <v>0.14638138093325548</v>
      </c>
      <c r="P134" s="413">
        <f>+P131+P123+P113+P106+P93+P81+P72+P59+P49+P39+P129+P133</f>
        <v>4325712.5733000003</v>
      </c>
      <c r="Q134" s="413">
        <f>+Q131+Q123+Q113+Q106+Q93+Q81+Q72+Q59+Q49+Q39</f>
        <v>4054407</v>
      </c>
      <c r="R134" s="373"/>
    </row>
    <row r="135" spans="1:18" x14ac:dyDescent="0.3">
      <c r="A135" s="306" t="s">
        <v>604</v>
      </c>
      <c r="B135" s="413"/>
      <c r="C135" s="413"/>
      <c r="D135" s="413"/>
      <c r="E135" s="413"/>
      <c r="F135" s="413"/>
      <c r="G135" s="413"/>
      <c r="H135" s="413"/>
      <c r="I135" s="413"/>
      <c r="J135" s="413"/>
      <c r="K135" s="413"/>
      <c r="L135" s="413"/>
      <c r="M135" s="413"/>
      <c r="N135" s="413"/>
      <c r="O135" s="286"/>
      <c r="P135" s="413"/>
      <c r="Q135" s="413"/>
      <c r="R135" s="373"/>
    </row>
    <row r="136" spans="1:18" x14ac:dyDescent="0.3">
      <c r="A136" s="409" t="s">
        <v>590</v>
      </c>
      <c r="B136" s="426"/>
      <c r="C136" s="426">
        <v>1632</v>
      </c>
      <c r="D136" s="426"/>
      <c r="E136" s="426"/>
      <c r="F136" s="426"/>
      <c r="G136" s="426"/>
      <c r="H136" s="426"/>
      <c r="I136" s="426"/>
      <c r="J136" s="426"/>
      <c r="K136" s="426"/>
      <c r="L136" s="426"/>
      <c r="M136" s="426"/>
      <c r="N136" s="425">
        <f>SUM(B136:M136)</f>
        <v>1632</v>
      </c>
      <c r="O136" s="286"/>
      <c r="P136" s="426">
        <f>+'budget entry'!C171</f>
        <v>50000</v>
      </c>
      <c r="Q136" s="426">
        <v>37500</v>
      </c>
      <c r="R136" s="373"/>
    </row>
    <row r="137" spans="1:18" x14ac:dyDescent="0.3">
      <c r="A137" s="52" t="s">
        <v>593</v>
      </c>
      <c r="B137" s="426"/>
      <c r="C137" s="426"/>
      <c r="D137" s="426"/>
      <c r="E137" s="426"/>
      <c r="F137" s="426"/>
      <c r="G137" s="426"/>
      <c r="H137" s="426"/>
      <c r="I137" s="426"/>
      <c r="J137" s="426"/>
      <c r="K137" s="426"/>
      <c r="L137" s="426"/>
      <c r="M137" s="426"/>
      <c r="N137" s="425">
        <f>SUM(B137:M137)</f>
        <v>0</v>
      </c>
      <c r="O137" s="286"/>
      <c r="P137" s="426">
        <f>+'budget entry'!C172</f>
        <v>34000</v>
      </c>
      <c r="Q137" s="426"/>
      <c r="R137" s="373"/>
    </row>
    <row r="138" spans="1:18" x14ac:dyDescent="0.3">
      <c r="A138" s="52" t="s">
        <v>725</v>
      </c>
      <c r="B138" s="411"/>
      <c r="C138" s="411"/>
      <c r="D138" s="411"/>
      <c r="E138" s="411"/>
      <c r="F138" s="411"/>
      <c r="G138" s="411"/>
      <c r="H138" s="411"/>
      <c r="I138" s="411"/>
      <c r="J138" s="411"/>
      <c r="K138" s="411"/>
      <c r="L138" s="411"/>
      <c r="M138" s="411"/>
      <c r="N138" s="473">
        <f>SUM(B138:M138)</f>
        <v>0</v>
      </c>
      <c r="O138" s="286"/>
      <c r="P138" s="411">
        <f>+'budget entry'!C174</f>
        <v>42000</v>
      </c>
      <c r="Q138" s="411"/>
      <c r="R138" s="373"/>
    </row>
    <row r="139" spans="1:18" x14ac:dyDescent="0.3">
      <c r="A139" s="62" t="s">
        <v>603</v>
      </c>
      <c r="B139" s="416">
        <f t="shared" ref="B139:N139" si="31">SUM(B134:B138)</f>
        <v>315365.48000000004</v>
      </c>
      <c r="C139" s="416">
        <f>SUM(C134:C138)</f>
        <v>319470.3</v>
      </c>
      <c r="D139" s="416">
        <f t="shared" si="31"/>
        <v>0</v>
      </c>
      <c r="E139" s="416">
        <f t="shared" si="31"/>
        <v>0</v>
      </c>
      <c r="F139" s="416">
        <f t="shared" si="31"/>
        <v>0</v>
      </c>
      <c r="G139" s="416">
        <f t="shared" si="31"/>
        <v>0</v>
      </c>
      <c r="H139" s="416">
        <f t="shared" si="31"/>
        <v>0</v>
      </c>
      <c r="I139" s="416">
        <f t="shared" si="31"/>
        <v>0</v>
      </c>
      <c r="J139" s="416">
        <f t="shared" si="31"/>
        <v>0</v>
      </c>
      <c r="K139" s="416">
        <f t="shared" si="31"/>
        <v>0</v>
      </c>
      <c r="L139" s="416">
        <f t="shared" si="31"/>
        <v>0</v>
      </c>
      <c r="M139" s="416">
        <f t="shared" si="31"/>
        <v>0</v>
      </c>
      <c r="N139" s="416">
        <f t="shared" si="31"/>
        <v>634835.78000000014</v>
      </c>
      <c r="O139" s="346"/>
      <c r="P139" s="416">
        <f>SUM(P134:P138)</f>
        <v>4451712.5733000003</v>
      </c>
      <c r="Q139" s="416">
        <f>SUM(Q134:Q138)</f>
        <v>4091907</v>
      </c>
      <c r="R139" s="373"/>
    </row>
    <row r="140" spans="1:18" ht="15" thickBot="1" x14ac:dyDescent="0.35">
      <c r="A140" s="306" t="s">
        <v>482</v>
      </c>
      <c r="B140" s="315">
        <f t="shared" ref="B140:N140" si="32">B22-B139</f>
        <v>47173.669999999984</v>
      </c>
      <c r="C140" s="315">
        <f t="shared" si="32"/>
        <v>114991.40999999997</v>
      </c>
      <c r="D140" s="315">
        <f t="shared" si="32"/>
        <v>0</v>
      </c>
      <c r="E140" s="315">
        <f t="shared" si="32"/>
        <v>0</v>
      </c>
      <c r="F140" s="315">
        <f t="shared" si="32"/>
        <v>0</v>
      </c>
      <c r="G140" s="315">
        <f t="shared" si="32"/>
        <v>0</v>
      </c>
      <c r="H140" s="315">
        <f t="shared" si="32"/>
        <v>0</v>
      </c>
      <c r="I140" s="315">
        <f t="shared" si="32"/>
        <v>0</v>
      </c>
      <c r="J140" s="315">
        <f t="shared" si="32"/>
        <v>0</v>
      </c>
      <c r="K140" s="315">
        <f t="shared" si="32"/>
        <v>0</v>
      </c>
      <c r="L140" s="315">
        <f t="shared" si="32"/>
        <v>0</v>
      </c>
      <c r="M140" s="315">
        <f t="shared" si="32"/>
        <v>0</v>
      </c>
      <c r="N140" s="315">
        <f t="shared" si="32"/>
        <v>162165.08000000007</v>
      </c>
      <c r="O140" s="342"/>
      <c r="P140" s="315">
        <f>P22-P139</f>
        <v>279390.42669999972</v>
      </c>
      <c r="Q140" s="315">
        <f>Q22-Q139</f>
        <v>176933</v>
      </c>
      <c r="R140" s="373"/>
    </row>
    <row r="141" spans="1:18" ht="15" thickTop="1" x14ac:dyDescent="0.3">
      <c r="A141" s="62" t="s">
        <v>728</v>
      </c>
      <c r="O141" s="344"/>
      <c r="P141" s="257">
        <v>2296017</v>
      </c>
      <c r="Q141" s="84">
        <f>682978+123000+1053541</f>
        <v>1859519</v>
      </c>
      <c r="R141" s="373"/>
    </row>
    <row r="142" spans="1:18" ht="15" thickBot="1" x14ac:dyDescent="0.35">
      <c r="A142" s="62" t="s">
        <v>727</v>
      </c>
      <c r="B142" s="62"/>
      <c r="C142" s="62"/>
      <c r="D142" s="62"/>
      <c r="E142" s="62"/>
      <c r="F142" s="62"/>
      <c r="G142" s="62"/>
      <c r="H142" s="62"/>
      <c r="I142" s="62"/>
      <c r="J142" s="62"/>
      <c r="K142" s="62"/>
      <c r="L142" s="62"/>
      <c r="M142" s="62"/>
      <c r="N142" s="62"/>
      <c r="O142" s="342"/>
      <c r="P142" s="266">
        <f>+P141+P140</f>
        <v>2575407.4266999997</v>
      </c>
      <c r="Q142" s="266">
        <f>+Q141+Q140</f>
        <v>2036452</v>
      </c>
      <c r="R142" s="373"/>
    </row>
    <row r="143" spans="1:18" ht="15" thickTop="1" x14ac:dyDescent="0.3">
      <c r="B143" s="62"/>
      <c r="C143" s="62"/>
      <c r="D143" s="62"/>
      <c r="E143" s="62"/>
      <c r="F143" s="62"/>
      <c r="G143" s="62"/>
      <c r="H143" s="62"/>
      <c r="I143" s="62"/>
      <c r="J143" s="62"/>
      <c r="K143" s="62"/>
      <c r="L143" s="62"/>
      <c r="M143" s="62"/>
      <c r="N143" s="62"/>
      <c r="O143" s="342"/>
      <c r="Q143" s="195"/>
      <c r="R143" s="373"/>
    </row>
    <row r="144" spans="1:18" x14ac:dyDescent="0.3">
      <c r="A144" s="62"/>
      <c r="B144" s="62"/>
      <c r="C144" s="62"/>
      <c r="D144" s="62"/>
      <c r="E144" s="62"/>
      <c r="F144" s="62"/>
      <c r="G144" s="62"/>
      <c r="H144" s="62"/>
      <c r="I144" s="62"/>
      <c r="J144" s="62"/>
      <c r="K144" s="62"/>
      <c r="L144" s="62"/>
      <c r="M144" s="62"/>
      <c r="N144" s="62"/>
      <c r="O144" s="292"/>
      <c r="P144" s="490"/>
      <c r="Q144" s="62"/>
    </row>
    <row r="145" spans="1:17" x14ac:dyDescent="0.3">
      <c r="A145" s="62"/>
      <c r="B145" s="62"/>
      <c r="C145" s="62"/>
      <c r="D145" s="62"/>
      <c r="E145" s="62"/>
      <c r="F145" s="62"/>
      <c r="G145" s="62"/>
      <c r="H145" s="62"/>
      <c r="I145" s="62"/>
      <c r="J145" s="62"/>
      <c r="K145" s="62"/>
      <c r="L145" s="62"/>
      <c r="M145" s="62"/>
      <c r="N145" s="62"/>
      <c r="O145" s="292"/>
      <c r="P145" s="62"/>
      <c r="Q145" s="62"/>
    </row>
    <row r="146" spans="1:17" x14ac:dyDescent="0.3">
      <c r="A146" s="60"/>
      <c r="B146" s="60"/>
      <c r="C146" s="60"/>
      <c r="D146" s="60"/>
      <c r="E146" s="60"/>
      <c r="F146" s="60"/>
      <c r="G146" s="60"/>
      <c r="H146" s="60"/>
      <c r="I146" s="60"/>
      <c r="J146" s="60"/>
      <c r="K146" s="60"/>
      <c r="L146" s="60"/>
      <c r="M146" s="60"/>
      <c r="N146" s="60"/>
      <c r="O146" s="491"/>
      <c r="P146" s="60"/>
      <c r="Q146" s="60"/>
    </row>
    <row r="147" spans="1:17" x14ac:dyDescent="0.3">
      <c r="B147" s="51"/>
      <c r="C147" s="51"/>
      <c r="D147" s="51"/>
      <c r="E147" s="51"/>
      <c r="F147" s="51"/>
      <c r="G147" s="51"/>
      <c r="H147" s="51"/>
      <c r="I147" s="51"/>
      <c r="J147" s="51"/>
      <c r="K147" s="51"/>
      <c r="L147" s="51"/>
      <c r="M147" s="51"/>
      <c r="N147" s="51"/>
      <c r="O147" s="293"/>
      <c r="Q147" s="195"/>
    </row>
    <row r="148" spans="1:17" x14ac:dyDescent="0.3">
      <c r="P148" s="268"/>
      <c r="Q148" s="195"/>
    </row>
    <row r="149" spans="1:17" x14ac:dyDescent="0.3">
      <c r="P149" s="268"/>
      <c r="Q149" s="195"/>
    </row>
    <row r="151" spans="1:17" x14ac:dyDescent="0.3">
      <c r="P151" s="268"/>
    </row>
    <row r="152" spans="1:17" x14ac:dyDescent="0.3">
      <c r="P152" s="268"/>
      <c r="Q152" s="51"/>
    </row>
    <row r="154" spans="1:17" x14ac:dyDescent="0.3">
      <c r="Q154" s="268"/>
    </row>
    <row r="155" spans="1:17" x14ac:dyDescent="0.3">
      <c r="Q155" s="268"/>
    </row>
    <row r="156" spans="1:17" x14ac:dyDescent="0.3">
      <c r="P156" s="262"/>
    </row>
    <row r="157" spans="1:17" x14ac:dyDescent="0.3">
      <c r="P157" s="262"/>
      <c r="Q157" s="268"/>
    </row>
    <row r="158" spans="1:17" x14ac:dyDescent="0.3">
      <c r="Q158" s="268"/>
    </row>
    <row r="159" spans="1:17" x14ac:dyDescent="0.3">
      <c r="P159" s="122"/>
    </row>
    <row r="161" spans="1:17" x14ac:dyDescent="0.3">
      <c r="A161" s="57" t="s">
        <v>15</v>
      </c>
    </row>
    <row r="162" spans="1:17" x14ac:dyDescent="0.3">
      <c r="Q162" s="262"/>
    </row>
    <row r="163" spans="1:17" x14ac:dyDescent="0.3">
      <c r="Q163" s="262"/>
    </row>
    <row r="165" spans="1:17" x14ac:dyDescent="0.3">
      <c r="Q165" s="122"/>
    </row>
  </sheetData>
  <pageMargins left="0.7" right="0.7" top="0.25" bottom="0.25" header="0.3" footer="0.3"/>
  <pageSetup orientation="landscape" r:id="rId1"/>
  <headerFooter>
    <oddFooter>&amp;R&amp;D&amp;T
&amp;P</oddFooter>
  </headerFooter>
  <rowBreaks count="3" manualBreakCount="3">
    <brk id="40" max="16383" man="1"/>
    <brk id="73" max="16383" man="1"/>
    <brk id="1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4"/>
  <sheetViews>
    <sheetView tabSelected="1" workbookViewId="0">
      <pane xSplit="1" ySplit="4" topLeftCell="B131" activePane="bottomRight" state="frozen"/>
      <selection pane="topRight" activeCell="B1" sqref="B1"/>
      <selection pane="bottomLeft" activeCell="A6" sqref="A6"/>
      <selection pane="bottomRight" activeCell="A145" sqref="A145:Q154"/>
    </sheetView>
  </sheetViews>
  <sheetFormatPr defaultRowHeight="14.4" x14ac:dyDescent="0.3"/>
  <cols>
    <col min="1" max="1" width="27.6640625" style="57" customWidth="1"/>
    <col min="2" max="2" width="13.6640625" hidden="1" customWidth="1"/>
    <col min="3" max="3" width="14.5546875" style="456" hidden="1" customWidth="1"/>
    <col min="4" max="5" width="14.5546875" hidden="1" customWidth="1"/>
    <col min="6" max="13" width="13.6640625" hidden="1" customWidth="1"/>
    <col min="14" max="14" width="13.33203125" hidden="1" customWidth="1"/>
    <col min="15" max="15" width="8.33203125" style="330" hidden="1" customWidth="1"/>
    <col min="16" max="16" width="12.33203125" hidden="1" customWidth="1"/>
    <col min="17" max="17" width="13.6640625" customWidth="1"/>
    <col min="18" max="18" width="33.6640625" customWidth="1"/>
  </cols>
  <sheetData>
    <row r="1" spans="1:18" x14ac:dyDescent="0.3">
      <c r="A1" s="242"/>
      <c r="B1" s="242"/>
      <c r="C1" s="242"/>
      <c r="D1" s="242"/>
      <c r="E1" s="242"/>
      <c r="F1" s="242"/>
      <c r="G1" s="242"/>
      <c r="H1" s="242"/>
      <c r="I1" s="242"/>
      <c r="J1" s="242"/>
      <c r="K1" s="242"/>
      <c r="L1" s="242"/>
      <c r="M1" s="242"/>
      <c r="N1" s="242"/>
      <c r="O1" s="304"/>
      <c r="P1" s="300" t="s">
        <v>15</v>
      </c>
      <c r="Q1" s="300" t="s">
        <v>15</v>
      </c>
      <c r="R1" s="242"/>
    </row>
    <row r="2" spans="1:18" x14ac:dyDescent="0.3">
      <c r="A2" s="302" t="s">
        <v>495</v>
      </c>
      <c r="B2" s="271"/>
      <c r="C2" s="271"/>
      <c r="D2" s="271"/>
      <c r="E2" s="271"/>
      <c r="F2" s="271"/>
      <c r="G2" s="271"/>
      <c r="H2" s="271"/>
      <c r="I2" s="271"/>
      <c r="J2" s="271"/>
      <c r="K2" s="271"/>
      <c r="L2" s="271"/>
      <c r="M2" s="271"/>
      <c r="N2" s="271"/>
      <c r="O2" s="385" t="s">
        <v>15</v>
      </c>
      <c r="P2" s="301">
        <f>+'budget entry'!E3</f>
        <v>8300</v>
      </c>
      <c r="Q2" s="301">
        <v>8281</v>
      </c>
      <c r="R2" s="565" t="s">
        <v>18</v>
      </c>
    </row>
    <row r="3" spans="1:18" x14ac:dyDescent="0.3">
      <c r="A3" s="302" t="s">
        <v>188</v>
      </c>
      <c r="B3" s="302"/>
      <c r="C3" s="302"/>
      <c r="D3" s="302"/>
      <c r="E3" s="302"/>
      <c r="F3" s="302"/>
      <c r="G3" s="302"/>
      <c r="H3" s="302"/>
      <c r="I3" s="302"/>
      <c r="J3" s="302"/>
      <c r="K3" s="302"/>
      <c r="L3" s="302"/>
      <c r="M3" s="302"/>
      <c r="N3" s="302" t="s">
        <v>15</v>
      </c>
      <c r="O3" s="305" t="s">
        <v>15</v>
      </c>
      <c r="P3" s="476">
        <f>+'budget entry'!E4</f>
        <v>322</v>
      </c>
      <c r="Q3" s="301">
        <v>310</v>
      </c>
      <c r="R3" s="566" t="s">
        <v>458</v>
      </c>
    </row>
    <row r="4" spans="1:18" ht="33" customHeight="1" thickBot="1" x14ac:dyDescent="0.35">
      <c r="A4" s="612" t="s">
        <v>774</v>
      </c>
      <c r="B4" s="440" t="s">
        <v>608</v>
      </c>
      <c r="C4" s="440" t="s">
        <v>609</v>
      </c>
      <c r="D4" s="440" t="s">
        <v>610</v>
      </c>
      <c r="E4" s="440" t="s">
        <v>611</v>
      </c>
      <c r="F4" s="440" t="s">
        <v>550</v>
      </c>
      <c r="G4" s="440" t="s">
        <v>551</v>
      </c>
      <c r="H4" s="440" t="s">
        <v>552</v>
      </c>
      <c r="I4" s="440" t="s">
        <v>553</v>
      </c>
      <c r="J4" s="440" t="s">
        <v>554</v>
      </c>
      <c r="K4" s="440" t="s">
        <v>561</v>
      </c>
      <c r="L4" s="440" t="s">
        <v>556</v>
      </c>
      <c r="M4" s="440" t="s">
        <v>557</v>
      </c>
      <c r="N4" s="440" t="s">
        <v>494</v>
      </c>
      <c r="O4" s="441">
        <f>2/12</f>
        <v>0.16666666666666666</v>
      </c>
      <c r="P4" s="442" t="s">
        <v>676</v>
      </c>
      <c r="Q4" s="442" t="s">
        <v>773</v>
      </c>
      <c r="R4" s="440" t="s">
        <v>15</v>
      </c>
    </row>
    <row r="5" spans="1:18" s="195" customFormat="1" ht="22.2" customHeight="1" thickBot="1" x14ac:dyDescent="0.35">
      <c r="A5" s="381" t="s">
        <v>459</v>
      </c>
      <c r="B5" s="60"/>
      <c r="C5" s="60"/>
      <c r="D5" s="60"/>
      <c r="E5" s="60"/>
      <c r="F5" s="60"/>
      <c r="G5" s="60"/>
      <c r="H5" s="60"/>
      <c r="I5" s="60"/>
      <c r="J5" s="60"/>
      <c r="K5" s="60"/>
      <c r="L5" s="60"/>
      <c r="M5" s="60"/>
      <c r="N5" s="51"/>
      <c r="O5" s="343"/>
      <c r="P5" s="354"/>
      <c r="Q5" s="354"/>
    </row>
    <row r="6" spans="1:18" x14ac:dyDescent="0.3">
      <c r="A6" s="78" t="s">
        <v>18</v>
      </c>
      <c r="B6" s="332">
        <v>224432.04</v>
      </c>
      <c r="C6" s="332">
        <v>224432.04</v>
      </c>
      <c r="D6" s="332"/>
      <c r="E6" s="332"/>
      <c r="F6" s="332"/>
      <c r="G6" s="332"/>
      <c r="H6" s="332"/>
      <c r="I6" s="332"/>
      <c r="J6" s="332"/>
      <c r="K6" s="332"/>
      <c r="L6" s="332"/>
      <c r="M6" s="332"/>
      <c r="N6" s="332">
        <f>SUM(B6:M6)</f>
        <v>448864.08</v>
      </c>
      <c r="O6" s="341">
        <f t="shared" ref="O6:O24" si="0">N6/P6</f>
        <v>0.1679503404924044</v>
      </c>
      <c r="P6" s="79">
        <f>+'budget entry'!E6</f>
        <v>2672600</v>
      </c>
      <c r="Q6" s="79">
        <v>2567172</v>
      </c>
    </row>
    <row r="7" spans="1:18" x14ac:dyDescent="0.3">
      <c r="A7" s="78" t="s">
        <v>714</v>
      </c>
      <c r="B7" s="332"/>
      <c r="C7" s="332">
        <v>18707.599999999999</v>
      </c>
      <c r="D7" s="332"/>
      <c r="E7" s="332"/>
      <c r="F7" s="332"/>
      <c r="G7" s="332"/>
      <c r="H7" s="332"/>
      <c r="I7" s="332"/>
      <c r="J7" s="332"/>
      <c r="K7" s="332"/>
      <c r="L7" s="332"/>
      <c r="M7" s="332"/>
      <c r="N7" s="332">
        <f t="shared" ref="N7:N23" si="1">SUM(B7:M7)</f>
        <v>18707.599999999999</v>
      </c>
      <c r="O7" s="341"/>
      <c r="P7" s="79">
        <f>+'budget entry'!E8</f>
        <v>18700</v>
      </c>
      <c r="Q7" s="79"/>
    </row>
    <row r="8" spans="1:18" x14ac:dyDescent="0.3">
      <c r="A8" s="78" t="s">
        <v>433</v>
      </c>
      <c r="B8" s="332">
        <v>10373.370000000001</v>
      </c>
      <c r="C8" s="332">
        <v>10384.89</v>
      </c>
      <c r="D8" s="332"/>
      <c r="E8" s="332"/>
      <c r="F8" s="332"/>
      <c r="G8" s="332"/>
      <c r="H8" s="332"/>
      <c r="I8" s="332"/>
      <c r="J8" s="332"/>
      <c r="K8" s="332"/>
      <c r="L8" s="332"/>
      <c r="M8" s="332"/>
      <c r="N8" s="332">
        <f t="shared" si="1"/>
        <v>20758.260000000002</v>
      </c>
      <c r="O8" s="341">
        <f t="shared" si="0"/>
        <v>0.20581057098382924</v>
      </c>
      <c r="P8" s="79">
        <f>+'budget entry'!E24</f>
        <v>100861</v>
      </c>
      <c r="Q8" s="79">
        <v>92346</v>
      </c>
    </row>
    <row r="9" spans="1:18" x14ac:dyDescent="0.3">
      <c r="A9" s="78" t="s">
        <v>22</v>
      </c>
      <c r="B9" s="332">
        <v>7077.65</v>
      </c>
      <c r="C9" s="332"/>
      <c r="D9" s="332"/>
      <c r="E9" s="332"/>
      <c r="F9" s="332"/>
      <c r="G9" s="332"/>
      <c r="H9" s="332"/>
      <c r="I9" s="332"/>
      <c r="J9" s="332"/>
      <c r="K9" s="332"/>
      <c r="L9" s="332"/>
      <c r="M9" s="332"/>
      <c r="N9" s="332">
        <f t="shared" si="1"/>
        <v>7077.65</v>
      </c>
      <c r="O9" s="341">
        <f t="shared" si="0"/>
        <v>8.7921118012422361E-2</v>
      </c>
      <c r="P9" s="77">
        <f>+'budget entry'!E7</f>
        <v>80500</v>
      </c>
      <c r="Q9" s="77">
        <v>77500</v>
      </c>
      <c r="R9" s="172" t="s">
        <v>15</v>
      </c>
    </row>
    <row r="10" spans="1:18" x14ac:dyDescent="0.3">
      <c r="A10" s="78" t="s">
        <v>63</v>
      </c>
      <c r="B10" s="332">
        <v>1027.3800000000001</v>
      </c>
      <c r="C10" s="332">
        <v>978.63</v>
      </c>
      <c r="D10" s="332"/>
      <c r="E10" s="332"/>
      <c r="F10" s="332"/>
      <c r="G10" s="332"/>
      <c r="H10" s="332"/>
      <c r="I10" s="332"/>
      <c r="J10" s="332"/>
      <c r="K10" s="332"/>
      <c r="L10" s="332"/>
      <c r="M10" s="332"/>
      <c r="N10" s="332">
        <f t="shared" si="1"/>
        <v>2006.0100000000002</v>
      </c>
      <c r="O10" s="341"/>
      <c r="P10" s="77">
        <f>+'budget entry'!E23</f>
        <v>12000</v>
      </c>
      <c r="Q10" s="77">
        <v>10000</v>
      </c>
      <c r="R10" s="172"/>
    </row>
    <row r="11" spans="1:18" x14ac:dyDescent="0.3">
      <c r="A11" s="78" t="s">
        <v>256</v>
      </c>
      <c r="B11" s="332"/>
      <c r="C11" s="332">
        <v>9169.59</v>
      </c>
      <c r="D11" s="332"/>
      <c r="E11" s="332"/>
      <c r="F11" s="332"/>
      <c r="G11" s="332"/>
      <c r="H11" s="332"/>
      <c r="I11" s="332"/>
      <c r="J11" s="332"/>
      <c r="K11" s="332"/>
      <c r="L11" s="332"/>
      <c r="M11" s="332"/>
      <c r="N11" s="332">
        <f t="shared" si="1"/>
        <v>9169.59</v>
      </c>
      <c r="O11" s="341">
        <f t="shared" si="0"/>
        <v>1.528265</v>
      </c>
      <c r="P11" s="77">
        <f>+'budget entry'!E10</f>
        <v>6000</v>
      </c>
      <c r="Q11" s="77">
        <v>7000</v>
      </c>
    </row>
    <row r="12" spans="1:18" x14ac:dyDescent="0.3">
      <c r="A12" s="78" t="s">
        <v>212</v>
      </c>
      <c r="B12" s="332"/>
      <c r="C12" s="332">
        <f>6013.18+5121.1</f>
        <v>11134.28</v>
      </c>
      <c r="D12" s="332"/>
      <c r="E12" s="332"/>
      <c r="F12" s="332"/>
      <c r="G12" s="332"/>
      <c r="H12" s="332"/>
      <c r="I12" s="332"/>
      <c r="J12" s="332"/>
      <c r="K12" s="332"/>
      <c r="L12" s="332"/>
      <c r="M12" s="332"/>
      <c r="N12" s="332">
        <f t="shared" si="1"/>
        <v>11134.28</v>
      </c>
      <c r="O12" s="341">
        <f t="shared" si="0"/>
        <v>0.74228533333333335</v>
      </c>
      <c r="P12" s="77">
        <f>+'budget entry'!E11</f>
        <v>15000</v>
      </c>
      <c r="Q12" s="77">
        <v>15000</v>
      </c>
    </row>
    <row r="13" spans="1:18" x14ac:dyDescent="0.3">
      <c r="A13" s="78" t="s">
        <v>490</v>
      </c>
      <c r="B13" s="332"/>
      <c r="C13" s="332"/>
      <c r="D13" s="332"/>
      <c r="E13" s="332"/>
      <c r="F13" s="332"/>
      <c r="G13" s="332"/>
      <c r="H13" s="332"/>
      <c r="I13" s="332"/>
      <c r="J13" s="332"/>
      <c r="K13" s="332"/>
      <c r="L13" s="332"/>
      <c r="M13" s="332"/>
      <c r="N13" s="332">
        <f t="shared" si="1"/>
        <v>0</v>
      </c>
      <c r="O13" s="341">
        <f t="shared" si="0"/>
        <v>0</v>
      </c>
      <c r="P13" s="77">
        <f>'budget entry'!E12</f>
        <v>43000</v>
      </c>
      <c r="Q13" s="77">
        <v>49316</v>
      </c>
    </row>
    <row r="14" spans="1:18" x14ac:dyDescent="0.3">
      <c r="A14" s="78" t="s">
        <v>194</v>
      </c>
      <c r="B14" s="332"/>
      <c r="C14" s="332"/>
      <c r="D14" s="332"/>
      <c r="E14" s="332"/>
      <c r="F14" s="332"/>
      <c r="G14" s="332"/>
      <c r="H14" s="332"/>
      <c r="I14" s="332"/>
      <c r="J14" s="332"/>
      <c r="K14" s="332"/>
      <c r="L14" s="332"/>
      <c r="M14" s="332"/>
      <c r="N14" s="332">
        <f t="shared" si="1"/>
        <v>0</v>
      </c>
      <c r="O14" s="341">
        <f t="shared" si="0"/>
        <v>0</v>
      </c>
      <c r="P14" s="77">
        <f>+'budget entry'!E13</f>
        <v>25000</v>
      </c>
      <c r="Q14" s="77">
        <v>28000</v>
      </c>
    </row>
    <row r="15" spans="1:18" x14ac:dyDescent="0.3">
      <c r="A15" s="78" t="s">
        <v>193</v>
      </c>
      <c r="B15" s="332"/>
      <c r="C15" s="332"/>
      <c r="D15" s="332"/>
      <c r="E15" s="332"/>
      <c r="F15" s="332"/>
      <c r="G15" s="332"/>
      <c r="H15" s="332"/>
      <c r="I15" s="332"/>
      <c r="J15" s="332"/>
      <c r="K15" s="332"/>
      <c r="L15" s="332"/>
      <c r="M15" s="332"/>
      <c r="N15" s="332">
        <f t="shared" si="1"/>
        <v>0</v>
      </c>
      <c r="O15" s="341">
        <f>N15/P15</f>
        <v>0</v>
      </c>
      <c r="P15" s="77">
        <f>+'budget entry'!E14</f>
        <v>15000</v>
      </c>
      <c r="Q15" s="77">
        <v>15000</v>
      </c>
    </row>
    <row r="16" spans="1:18" x14ac:dyDescent="0.3">
      <c r="A16" s="78" t="s">
        <v>204</v>
      </c>
      <c r="B16" s="332"/>
      <c r="C16" s="332"/>
      <c r="D16" s="332"/>
      <c r="E16" s="332"/>
      <c r="F16" s="332"/>
      <c r="G16" s="332"/>
      <c r="H16" s="332"/>
      <c r="I16" s="332"/>
      <c r="J16" s="332"/>
      <c r="K16" s="332"/>
      <c r="L16" s="332"/>
      <c r="M16" s="332"/>
      <c r="N16" s="332">
        <f t="shared" si="1"/>
        <v>0</v>
      </c>
      <c r="O16" s="341">
        <f t="shared" si="0"/>
        <v>0</v>
      </c>
      <c r="P16" s="77">
        <f>+'budget entry'!E15</f>
        <v>1000</v>
      </c>
      <c r="Q16" s="77">
        <v>1000</v>
      </c>
    </row>
    <row r="17" spans="1:18" x14ac:dyDescent="0.3">
      <c r="A17" s="78" t="s">
        <v>73</v>
      </c>
      <c r="B17" s="332"/>
      <c r="C17" s="332"/>
      <c r="D17" s="332"/>
      <c r="E17" s="332"/>
      <c r="F17" s="332"/>
      <c r="G17" s="332"/>
      <c r="H17" s="332"/>
      <c r="I17" s="332"/>
      <c r="J17" s="332"/>
      <c r="K17" s="332"/>
      <c r="L17" s="332"/>
      <c r="M17" s="332"/>
      <c r="N17" s="332">
        <f t="shared" si="1"/>
        <v>0</v>
      </c>
      <c r="O17" s="341"/>
      <c r="P17" s="77">
        <f>+'budget entry'!E9</f>
        <v>2500</v>
      </c>
      <c r="Q17" s="77"/>
      <c r="R17" t="s">
        <v>648</v>
      </c>
    </row>
    <row r="18" spans="1:18" x14ac:dyDescent="0.3">
      <c r="A18" s="78" t="s">
        <v>718</v>
      </c>
      <c r="B18" s="332"/>
      <c r="C18" s="332"/>
      <c r="D18" s="332"/>
      <c r="E18" s="332"/>
      <c r="F18" s="332"/>
      <c r="G18" s="332"/>
      <c r="H18" s="332"/>
      <c r="I18" s="332"/>
      <c r="J18" s="332"/>
      <c r="K18" s="332"/>
      <c r="L18" s="332"/>
      <c r="M18" s="332"/>
      <c r="N18" s="332">
        <f t="shared" si="1"/>
        <v>0</v>
      </c>
      <c r="O18" s="341"/>
      <c r="P18" s="77"/>
      <c r="Q18" s="77">
        <v>10000</v>
      </c>
    </row>
    <row r="19" spans="1:18" x14ac:dyDescent="0.3">
      <c r="A19" s="78" t="s">
        <v>17</v>
      </c>
      <c r="B19" s="332">
        <v>564</v>
      </c>
      <c r="C19" s="332">
        <v>11692</v>
      </c>
      <c r="D19" s="332"/>
      <c r="E19" s="332"/>
      <c r="F19" s="332"/>
      <c r="G19" s="332"/>
      <c r="H19" s="332"/>
      <c r="I19" s="332"/>
      <c r="J19" s="332"/>
      <c r="K19" s="332"/>
      <c r="L19" s="332"/>
      <c r="M19" s="332"/>
      <c r="N19" s="332">
        <f t="shared" si="1"/>
        <v>12256</v>
      </c>
      <c r="O19" s="341">
        <f t="shared" si="0"/>
        <v>1.1141818181818182</v>
      </c>
      <c r="P19" s="77">
        <f>+'budget entry'!E19</f>
        <v>11000</v>
      </c>
      <c r="Q19" s="77">
        <v>34500</v>
      </c>
      <c r="R19" t="s">
        <v>642</v>
      </c>
    </row>
    <row r="20" spans="1:18" x14ac:dyDescent="0.3">
      <c r="A20" s="78" t="s">
        <v>75</v>
      </c>
      <c r="B20" s="332"/>
      <c r="C20" s="332"/>
      <c r="D20" s="332"/>
      <c r="E20" s="332"/>
      <c r="F20" s="332"/>
      <c r="G20" s="332"/>
      <c r="H20" s="332"/>
      <c r="I20" s="332"/>
      <c r="J20" s="332"/>
      <c r="K20" s="332"/>
      <c r="L20" s="332"/>
      <c r="M20" s="332"/>
      <c r="N20" s="332">
        <f t="shared" si="1"/>
        <v>0</v>
      </c>
      <c r="O20" s="341"/>
      <c r="P20" s="77">
        <f>+'budget entry'!E16</f>
        <v>5000</v>
      </c>
      <c r="Q20" s="77"/>
    </row>
    <row r="21" spans="1:18" x14ac:dyDescent="0.3">
      <c r="A21" s="78" t="s">
        <v>715</v>
      </c>
      <c r="B21" s="332"/>
      <c r="C21" s="332"/>
      <c r="D21" s="332"/>
      <c r="E21" s="332"/>
      <c r="F21" s="332"/>
      <c r="G21" s="332"/>
      <c r="H21" s="332"/>
      <c r="I21" s="332"/>
      <c r="J21" s="332"/>
      <c r="K21" s="332"/>
      <c r="L21" s="332"/>
      <c r="M21" s="332"/>
      <c r="N21" s="332">
        <f t="shared" si="1"/>
        <v>0</v>
      </c>
      <c r="O21" s="341"/>
      <c r="P21" s="77">
        <f>+'budget entry'!E27</f>
        <v>5298</v>
      </c>
      <c r="Q21" s="77"/>
    </row>
    <row r="22" spans="1:18" x14ac:dyDescent="0.3">
      <c r="A22" s="78" t="s">
        <v>426</v>
      </c>
      <c r="B22" s="332">
        <v>6384.89</v>
      </c>
      <c r="C22" s="332">
        <v>5261.45</v>
      </c>
      <c r="D22" s="332"/>
      <c r="E22" s="332"/>
      <c r="F22" s="332"/>
      <c r="G22" s="332"/>
      <c r="H22" s="332"/>
      <c r="I22" s="332"/>
      <c r="J22" s="332"/>
      <c r="K22" s="332"/>
      <c r="L22" s="332"/>
      <c r="M22" s="332"/>
      <c r="N22" s="332">
        <f t="shared" si="1"/>
        <v>11646.34</v>
      </c>
      <c r="O22" s="341">
        <f t="shared" si="0"/>
        <v>0.38247422003284071</v>
      </c>
      <c r="P22" s="77">
        <f>+'budget entry'!E22+'budget entry'!E21</f>
        <v>30450</v>
      </c>
      <c r="Q22" s="77">
        <v>11183</v>
      </c>
      <c r="R22" s="172" t="s">
        <v>15</v>
      </c>
    </row>
    <row r="23" spans="1:18" x14ac:dyDescent="0.3">
      <c r="A23" s="78" t="s">
        <v>461</v>
      </c>
      <c r="B23" s="334"/>
      <c r="C23" s="334"/>
      <c r="D23" s="334"/>
      <c r="E23" s="334"/>
      <c r="F23" s="334"/>
      <c r="G23" s="334"/>
      <c r="H23" s="334"/>
      <c r="I23" s="334"/>
      <c r="J23" s="334"/>
      <c r="K23" s="334"/>
      <c r="L23" s="334"/>
      <c r="M23" s="334"/>
      <c r="N23" s="334">
        <f t="shared" si="1"/>
        <v>0</v>
      </c>
      <c r="O23" s="341">
        <f t="shared" si="0"/>
        <v>0</v>
      </c>
      <c r="P23" s="81">
        <v>35000</v>
      </c>
      <c r="Q23" s="81">
        <v>25000</v>
      </c>
    </row>
    <row r="24" spans="1:18" x14ac:dyDescent="0.3">
      <c r="A24" s="241" t="s">
        <v>493</v>
      </c>
      <c r="B24" s="392">
        <f t="shared" ref="B24:N24" si="2">SUM(B6:B23)</f>
        <v>249859.33000000002</v>
      </c>
      <c r="C24" s="392">
        <f t="shared" si="2"/>
        <v>291760.4800000001</v>
      </c>
      <c r="D24" s="392">
        <f t="shared" si="2"/>
        <v>0</v>
      </c>
      <c r="E24" s="392">
        <f t="shared" si="2"/>
        <v>0</v>
      </c>
      <c r="F24" s="392">
        <f t="shared" si="2"/>
        <v>0</v>
      </c>
      <c r="G24" s="392">
        <f t="shared" si="2"/>
        <v>0</v>
      </c>
      <c r="H24" s="392">
        <f t="shared" si="2"/>
        <v>0</v>
      </c>
      <c r="I24" s="392">
        <f t="shared" si="2"/>
        <v>0</v>
      </c>
      <c r="J24" s="392">
        <f t="shared" si="2"/>
        <v>0</v>
      </c>
      <c r="K24" s="392">
        <f t="shared" si="2"/>
        <v>0</v>
      </c>
      <c r="L24" s="392">
        <f t="shared" si="2"/>
        <v>0</v>
      </c>
      <c r="M24" s="392">
        <f t="shared" si="2"/>
        <v>0</v>
      </c>
      <c r="N24" s="392">
        <f t="shared" si="2"/>
        <v>541619.81000000006</v>
      </c>
      <c r="O24" s="341">
        <f t="shared" si="0"/>
        <v>0.17591289966673263</v>
      </c>
      <c r="P24" s="241">
        <f>SUM(P6:P23)</f>
        <v>3078909</v>
      </c>
      <c r="Q24" s="241">
        <f>SUM(Q6:Q23)</f>
        <v>2943017</v>
      </c>
      <c r="R24" s="353"/>
    </row>
    <row r="25" spans="1:18" ht="12" customHeight="1" x14ac:dyDescent="0.3">
      <c r="O25" s="331"/>
      <c r="P25" s="259"/>
      <c r="Q25" s="259"/>
    </row>
    <row r="26" spans="1:18" ht="15" thickBot="1" x14ac:dyDescent="0.35">
      <c r="A26" s="260" t="s">
        <v>463</v>
      </c>
      <c r="O26" s="331"/>
      <c r="P26" s="259"/>
      <c r="Q26" s="259"/>
    </row>
    <row r="27" spans="1:18" x14ac:dyDescent="0.3">
      <c r="A27" s="261" t="s">
        <v>30</v>
      </c>
      <c r="O27" s="331"/>
      <c r="P27" s="262"/>
      <c r="Q27" s="262"/>
    </row>
    <row r="28" spans="1:18" x14ac:dyDescent="0.3">
      <c r="A28" s="102" t="s">
        <v>1</v>
      </c>
      <c r="O28" s="331"/>
      <c r="P28" s="262"/>
      <c r="Q28" s="262"/>
    </row>
    <row r="29" spans="1:18" x14ac:dyDescent="0.3">
      <c r="A29" s="78" t="s">
        <v>111</v>
      </c>
      <c r="B29" s="78">
        <v>62652.79</v>
      </c>
      <c r="C29" s="78">
        <v>61006.47</v>
      </c>
      <c r="D29" s="78"/>
      <c r="E29" s="78"/>
      <c r="F29" s="78"/>
      <c r="G29" s="78"/>
      <c r="H29" s="78"/>
      <c r="I29" s="78"/>
      <c r="J29" s="78"/>
      <c r="K29" s="78"/>
      <c r="L29" s="78"/>
      <c r="M29" s="78"/>
      <c r="N29" s="332">
        <f>SUM(B29:M29)</f>
        <v>123659.26000000001</v>
      </c>
      <c r="O29" s="341">
        <f>N29/P29</f>
        <v>0.15493022084516783</v>
      </c>
      <c r="P29" s="78">
        <f>+'budget entry'!E34</f>
        <v>798161</v>
      </c>
      <c r="Q29" s="78">
        <v>822139</v>
      </c>
    </row>
    <row r="30" spans="1:18" ht="19.2" customHeight="1" x14ac:dyDescent="0.3">
      <c r="A30" s="78" t="s">
        <v>112</v>
      </c>
      <c r="B30" s="78"/>
      <c r="C30" s="78"/>
      <c r="D30" s="78"/>
      <c r="E30" s="78"/>
      <c r="F30" s="78"/>
      <c r="G30" s="78"/>
      <c r="H30" s="78"/>
      <c r="I30" s="78"/>
      <c r="J30" s="78"/>
      <c r="K30" s="78"/>
      <c r="L30" s="78"/>
      <c r="M30" s="78"/>
      <c r="N30" s="332">
        <f>SUM(B30:M30)</f>
        <v>0</v>
      </c>
      <c r="O30" s="341">
        <f t="shared" ref="O30:O40" si="3">N30/P30</f>
        <v>0</v>
      </c>
      <c r="P30" s="78">
        <f>'budget entry'!E35</f>
        <v>7000</v>
      </c>
      <c r="Q30" s="78">
        <v>7000</v>
      </c>
    </row>
    <row r="31" spans="1:18" ht="19.2" customHeight="1" x14ac:dyDescent="0.3">
      <c r="A31" s="78" t="s">
        <v>291</v>
      </c>
      <c r="B31" s="78"/>
      <c r="C31" s="78"/>
      <c r="D31" s="78"/>
      <c r="E31" s="78"/>
      <c r="F31" s="78"/>
      <c r="G31" s="78"/>
      <c r="H31" s="78"/>
      <c r="I31" s="78"/>
      <c r="J31" s="78"/>
      <c r="K31" s="78"/>
      <c r="L31" s="78"/>
      <c r="M31" s="78"/>
      <c r="N31" s="332"/>
      <c r="O31" s="341"/>
      <c r="P31" s="78">
        <f>+'budget entry'!E37</f>
        <v>53953</v>
      </c>
      <c r="Q31" s="78"/>
    </row>
    <row r="32" spans="1:18" x14ac:dyDescent="0.3">
      <c r="A32" s="78" t="s">
        <v>113</v>
      </c>
      <c r="B32" s="103"/>
      <c r="C32" s="78"/>
      <c r="D32" s="103"/>
      <c r="E32" s="103"/>
      <c r="F32" s="103"/>
      <c r="G32" s="103"/>
      <c r="H32" s="103"/>
      <c r="I32" s="103"/>
      <c r="J32" s="103"/>
      <c r="K32" s="103"/>
      <c r="L32" s="103"/>
      <c r="M32" s="103"/>
      <c r="N32" s="334">
        <f>SUM(B32:M32)</f>
        <v>0</v>
      </c>
      <c r="O32" s="341">
        <f t="shared" si="3"/>
        <v>0</v>
      </c>
      <c r="P32" s="103">
        <f>'budget entry'!E36</f>
        <v>15000</v>
      </c>
      <c r="Q32" s="103">
        <v>15000</v>
      </c>
    </row>
    <row r="33" spans="1:18" x14ac:dyDescent="0.3">
      <c r="A33" s="78" t="s">
        <v>114</v>
      </c>
      <c r="B33" s="77">
        <f t="shared" ref="B33:N33" si="4">SUM(B29:B32)</f>
        <v>62652.79</v>
      </c>
      <c r="C33" s="77">
        <f t="shared" si="4"/>
        <v>61006.47</v>
      </c>
      <c r="D33" s="77">
        <f t="shared" si="4"/>
        <v>0</v>
      </c>
      <c r="E33" s="77">
        <f t="shared" si="4"/>
        <v>0</v>
      </c>
      <c r="F33" s="77">
        <f t="shared" si="4"/>
        <v>0</v>
      </c>
      <c r="G33" s="77">
        <f t="shared" si="4"/>
        <v>0</v>
      </c>
      <c r="H33" s="77">
        <f t="shared" si="4"/>
        <v>0</v>
      </c>
      <c r="I33" s="77">
        <f t="shared" si="4"/>
        <v>0</v>
      </c>
      <c r="J33" s="77">
        <f t="shared" si="4"/>
        <v>0</v>
      </c>
      <c r="K33" s="77">
        <f t="shared" si="4"/>
        <v>0</v>
      </c>
      <c r="L33" s="77">
        <f t="shared" si="4"/>
        <v>0</v>
      </c>
      <c r="M33" s="77">
        <f t="shared" si="4"/>
        <v>0</v>
      </c>
      <c r="N33" s="77">
        <f t="shared" si="4"/>
        <v>123659.26000000001</v>
      </c>
      <c r="O33" s="341">
        <f t="shared" si="3"/>
        <v>0.14146811514287611</v>
      </c>
      <c r="P33" s="77">
        <f>SUM(P29:P32)</f>
        <v>874114</v>
      </c>
      <c r="Q33" s="77">
        <f>SUM(Q29:Q32)</f>
        <v>844139</v>
      </c>
    </row>
    <row r="34" spans="1:18" x14ac:dyDescent="0.3">
      <c r="A34" s="78" t="s">
        <v>497</v>
      </c>
      <c r="B34" s="76">
        <v>22373.360000000001</v>
      </c>
      <c r="C34" s="76">
        <v>23604.400000000001</v>
      </c>
      <c r="D34" s="76"/>
      <c r="E34" s="76"/>
      <c r="F34" s="76"/>
      <c r="G34" s="76"/>
      <c r="H34" s="76"/>
      <c r="I34" s="76"/>
      <c r="J34" s="76"/>
      <c r="K34" s="76"/>
      <c r="L34" s="76"/>
      <c r="M34" s="76"/>
      <c r="N34" s="332">
        <f t="shared" ref="N34:N40" si="5">SUM(B34:M34)</f>
        <v>45977.760000000002</v>
      </c>
      <c r="O34" s="341">
        <f t="shared" si="3"/>
        <v>0.10545660211902821</v>
      </c>
      <c r="P34" s="76">
        <f>+'budget entry'!E43</f>
        <v>435987.49699999997</v>
      </c>
      <c r="Q34" s="76">
        <v>433694</v>
      </c>
    </row>
    <row r="35" spans="1:18" x14ac:dyDescent="0.3">
      <c r="A35" s="78" t="s">
        <v>82</v>
      </c>
      <c r="B35" s="76">
        <v>2340.15</v>
      </c>
      <c r="C35" s="76">
        <v>4154.3599999999997</v>
      </c>
      <c r="D35" s="76"/>
      <c r="E35" s="76"/>
      <c r="F35" s="76"/>
      <c r="G35" s="76"/>
      <c r="H35" s="76"/>
      <c r="I35" s="76"/>
      <c r="J35" s="76"/>
      <c r="K35" s="76"/>
      <c r="L35" s="76"/>
      <c r="M35" s="76"/>
      <c r="N35" s="332">
        <f t="shared" si="5"/>
        <v>6494.51</v>
      </c>
      <c r="O35" s="341">
        <f t="shared" si="3"/>
        <v>0.25468666666666667</v>
      </c>
      <c r="P35" s="76">
        <f>+'budget entry'!E45</f>
        <v>25500</v>
      </c>
      <c r="Q35" s="76">
        <v>25500</v>
      </c>
    </row>
    <row r="36" spans="1:18" x14ac:dyDescent="0.3">
      <c r="A36" s="78" t="s">
        <v>455</v>
      </c>
      <c r="B36" s="76"/>
      <c r="C36" s="76"/>
      <c r="D36" s="76"/>
      <c r="E36" s="76"/>
      <c r="F36" s="76"/>
      <c r="G36" s="76"/>
      <c r="H36" s="76"/>
      <c r="I36" s="76"/>
      <c r="J36" s="76"/>
      <c r="K36" s="76"/>
      <c r="L36" s="76"/>
      <c r="M36" s="76"/>
      <c r="N36" s="332">
        <f t="shared" si="5"/>
        <v>0</v>
      </c>
      <c r="O36" s="341">
        <f t="shared" si="3"/>
        <v>0</v>
      </c>
      <c r="P36" s="76">
        <f>+'budget entry'!E46</f>
        <v>73000</v>
      </c>
      <c r="Q36" s="76">
        <v>60500</v>
      </c>
    </row>
    <row r="37" spans="1:18" x14ac:dyDescent="0.3">
      <c r="A37" s="78" t="s">
        <v>276</v>
      </c>
      <c r="B37" s="76">
        <v>2325</v>
      </c>
      <c r="C37" s="76">
        <v>1155.1600000000001</v>
      </c>
      <c r="D37" s="76"/>
      <c r="E37" s="76"/>
      <c r="F37" s="76"/>
      <c r="G37" s="76"/>
      <c r="H37" s="76"/>
      <c r="I37" s="76"/>
      <c r="J37" s="76"/>
      <c r="K37" s="76"/>
      <c r="L37" s="76"/>
      <c r="M37" s="76"/>
      <c r="N37" s="332">
        <f t="shared" si="5"/>
        <v>3480.16</v>
      </c>
      <c r="O37" s="341">
        <f t="shared" si="3"/>
        <v>0.13920640000000001</v>
      </c>
      <c r="P37" s="76">
        <f>+'budget entry'!E47</f>
        <v>25000</v>
      </c>
      <c r="Q37" s="76">
        <v>26488</v>
      </c>
    </row>
    <row r="38" spans="1:18" x14ac:dyDescent="0.3">
      <c r="A38" s="78" t="s">
        <v>85</v>
      </c>
      <c r="B38" s="76"/>
      <c r="C38" s="76">
        <v>3503.25</v>
      </c>
      <c r="D38" s="76"/>
      <c r="E38" s="76"/>
      <c r="F38" s="76"/>
      <c r="G38" s="76"/>
      <c r="H38" s="76"/>
      <c r="I38" s="76"/>
      <c r="J38" s="76"/>
      <c r="K38" s="76"/>
      <c r="L38" s="76"/>
      <c r="M38" s="76"/>
      <c r="N38" s="332">
        <f t="shared" si="5"/>
        <v>3503.25</v>
      </c>
      <c r="O38" s="341">
        <f t="shared" si="3"/>
        <v>0.350325</v>
      </c>
      <c r="P38" s="353">
        <f>+'budget entry'!E48</f>
        <v>10000</v>
      </c>
      <c r="Q38" s="76">
        <v>11000</v>
      </c>
    </row>
    <row r="39" spans="1:18" x14ac:dyDescent="0.3">
      <c r="A39" s="78" t="s">
        <v>720</v>
      </c>
      <c r="B39" s="76"/>
      <c r="C39" s="76"/>
      <c r="D39" s="76"/>
      <c r="E39" s="76"/>
      <c r="F39" s="76"/>
      <c r="G39" s="76"/>
      <c r="H39" s="76"/>
      <c r="I39" s="76"/>
      <c r="J39" s="76"/>
      <c r="K39" s="76"/>
      <c r="L39" s="76"/>
      <c r="M39" s="76"/>
      <c r="N39" s="332"/>
      <c r="O39" s="341"/>
      <c r="P39" s="353">
        <f>+'budget entry'!E50</f>
        <v>11000</v>
      </c>
      <c r="Q39" s="76"/>
    </row>
    <row r="40" spans="1:18" x14ac:dyDescent="0.3">
      <c r="A40" s="78" t="s">
        <v>719</v>
      </c>
      <c r="B40" s="63"/>
      <c r="C40" s="51"/>
      <c r="D40" s="63"/>
      <c r="E40" s="63"/>
      <c r="F40" s="63"/>
      <c r="G40" s="63"/>
      <c r="H40" s="63"/>
      <c r="I40" s="63"/>
      <c r="J40" s="63"/>
      <c r="K40" s="63"/>
      <c r="L40" s="63"/>
      <c r="M40" s="63"/>
      <c r="N40" s="334">
        <f t="shared" si="5"/>
        <v>0</v>
      </c>
      <c r="O40" s="341">
        <f t="shared" si="3"/>
        <v>0</v>
      </c>
      <c r="P40" s="63">
        <f>+'budget entry'!E51</f>
        <v>28700</v>
      </c>
      <c r="Q40" s="63">
        <v>11000</v>
      </c>
    </row>
    <row r="41" spans="1:18" s="195" customFormat="1" x14ac:dyDescent="0.3">
      <c r="A41" s="60" t="s">
        <v>135</v>
      </c>
      <c r="B41" s="60">
        <f t="shared" ref="B41:N41" si="6">SUM(B33:B40)</f>
        <v>89691.299999999988</v>
      </c>
      <c r="C41" s="60">
        <f t="shared" si="6"/>
        <v>93423.64</v>
      </c>
      <c r="D41" s="60">
        <f t="shared" si="6"/>
        <v>0</v>
      </c>
      <c r="E41" s="60">
        <f t="shared" si="6"/>
        <v>0</v>
      </c>
      <c r="F41" s="60">
        <f t="shared" si="6"/>
        <v>0</v>
      </c>
      <c r="G41" s="60">
        <f t="shared" si="6"/>
        <v>0</v>
      </c>
      <c r="H41" s="60">
        <f t="shared" si="6"/>
        <v>0</v>
      </c>
      <c r="I41" s="60">
        <f t="shared" si="6"/>
        <v>0</v>
      </c>
      <c r="J41" s="60">
        <f t="shared" si="6"/>
        <v>0</v>
      </c>
      <c r="K41" s="60">
        <f t="shared" si="6"/>
        <v>0</v>
      </c>
      <c r="L41" s="60">
        <f t="shared" si="6"/>
        <v>0</v>
      </c>
      <c r="M41" s="60">
        <f t="shared" si="6"/>
        <v>0</v>
      </c>
      <c r="N41" s="60">
        <f t="shared" si="6"/>
        <v>183114.94000000003</v>
      </c>
      <c r="O41" s="341">
        <f>N41/P41</f>
        <v>0.12345092374702837</v>
      </c>
      <c r="P41" s="60">
        <f>SUM(P33:P40)</f>
        <v>1483301.497</v>
      </c>
      <c r="Q41" s="60">
        <f>SUM(Q33:Q40)</f>
        <v>1412321</v>
      </c>
    </row>
    <row r="42" spans="1:18" s="195" customFormat="1" ht="9.6" customHeight="1" x14ac:dyDescent="0.3">
      <c r="A42" s="51"/>
      <c r="B42" s="51"/>
      <c r="C42" s="51"/>
      <c r="D42" s="51"/>
      <c r="E42" s="51"/>
      <c r="F42" s="51"/>
      <c r="G42" s="51"/>
      <c r="H42" s="51"/>
      <c r="I42" s="51"/>
      <c r="J42" s="51"/>
      <c r="K42" s="51"/>
      <c r="L42" s="51"/>
      <c r="M42" s="51"/>
      <c r="N42" s="51"/>
      <c r="O42" s="331"/>
      <c r="P42" s="51"/>
      <c r="Q42" s="51"/>
    </row>
    <row r="43" spans="1:18" s="195" customFormat="1" x14ac:dyDescent="0.3">
      <c r="A43" s="128" t="s">
        <v>35</v>
      </c>
      <c r="B43" s="51"/>
      <c r="C43" s="51"/>
      <c r="D43" s="51"/>
      <c r="E43" s="51"/>
      <c r="F43" s="51"/>
      <c r="G43" s="51"/>
      <c r="H43" s="51"/>
      <c r="I43" s="51"/>
      <c r="J43" s="51"/>
      <c r="K43" s="51"/>
      <c r="L43" s="51"/>
      <c r="M43" s="51"/>
      <c r="N43" s="51"/>
      <c r="O43" s="331"/>
      <c r="P43" s="51"/>
      <c r="Q43" s="51"/>
    </row>
    <row r="44" spans="1:18" s="195" customFormat="1" ht="19.95" customHeight="1" x14ac:dyDescent="0.3">
      <c r="A44" s="78" t="s">
        <v>120</v>
      </c>
      <c r="B44" s="79">
        <v>6084.91</v>
      </c>
      <c r="C44" s="79">
        <v>6069.28</v>
      </c>
      <c r="D44" s="79"/>
      <c r="E44" s="79"/>
      <c r="F44" s="79"/>
      <c r="G44" s="79"/>
      <c r="H44" s="79"/>
      <c r="I44" s="79"/>
      <c r="J44" s="79"/>
      <c r="K44" s="79"/>
      <c r="L44" s="79"/>
      <c r="M44" s="79"/>
      <c r="N44" s="332">
        <f t="shared" ref="N44:N50" si="7">SUM(B44:M44)</f>
        <v>12154.189999999999</v>
      </c>
      <c r="O44" s="341">
        <f t="shared" ref="O44:O49" si="8">N44/P44</f>
        <v>0.1503617334504472</v>
      </c>
      <c r="P44" s="77">
        <f>'budget entry'!E55</f>
        <v>80833</v>
      </c>
      <c r="Q44" s="79">
        <v>81853</v>
      </c>
    </row>
    <row r="45" spans="1:18" s="195" customFormat="1" x14ac:dyDescent="0.3">
      <c r="A45" s="78" t="s">
        <v>497</v>
      </c>
      <c r="B45" s="77">
        <v>2759.19</v>
      </c>
      <c r="C45" s="77">
        <v>2755.77</v>
      </c>
      <c r="D45" s="77"/>
      <c r="E45" s="77"/>
      <c r="F45" s="77"/>
      <c r="G45" s="77"/>
      <c r="H45" s="77"/>
      <c r="I45" s="77"/>
      <c r="J45" s="77"/>
      <c r="K45" s="77"/>
      <c r="L45" s="77"/>
      <c r="M45" s="77"/>
      <c r="N45" s="332">
        <f t="shared" si="7"/>
        <v>5514.96</v>
      </c>
      <c r="O45" s="341">
        <f t="shared" si="8"/>
        <v>0.14253116851685654</v>
      </c>
      <c r="P45" s="77">
        <f>+'budget entry'!E56+'budget entry'!E57+'budget entry'!E58</f>
        <v>38693.010500000004</v>
      </c>
      <c r="Q45" s="77">
        <f>1187+16698+1023+21708</f>
        <v>40616</v>
      </c>
    </row>
    <row r="46" spans="1:18" s="195" customFormat="1" x14ac:dyDescent="0.3">
      <c r="A46" s="78" t="s">
        <v>499</v>
      </c>
      <c r="B46" s="77"/>
      <c r="C46" s="77"/>
      <c r="D46" s="77"/>
      <c r="E46" s="77"/>
      <c r="F46" s="77"/>
      <c r="G46" s="77"/>
      <c r="H46" s="77"/>
      <c r="I46" s="77"/>
      <c r="J46" s="77"/>
      <c r="K46" s="77"/>
      <c r="L46" s="77"/>
      <c r="M46" s="77"/>
      <c r="N46" s="332">
        <f t="shared" si="7"/>
        <v>0</v>
      </c>
      <c r="O46" s="341" t="s">
        <v>15</v>
      </c>
      <c r="P46" s="77">
        <v>0</v>
      </c>
      <c r="Q46" s="77">
        <v>4524</v>
      </c>
      <c r="R46" s="195" t="s">
        <v>660</v>
      </c>
    </row>
    <row r="47" spans="1:18" s="195" customFormat="1" ht="15.75" customHeight="1" x14ac:dyDescent="0.3">
      <c r="A47" s="78" t="s">
        <v>664</v>
      </c>
      <c r="B47" s="77"/>
      <c r="C47" s="77">
        <v>445.59</v>
      </c>
      <c r="D47" s="77"/>
      <c r="E47" s="77"/>
      <c r="F47" s="77"/>
      <c r="G47" s="77"/>
      <c r="H47" s="77"/>
      <c r="I47" s="77"/>
      <c r="J47" s="77"/>
      <c r="K47" s="77"/>
      <c r="L47" s="77"/>
      <c r="M47" s="77"/>
      <c r="N47" s="332">
        <f t="shared" si="7"/>
        <v>445.59</v>
      </c>
      <c r="O47" s="341">
        <f t="shared" si="8"/>
        <v>0.37132499999999996</v>
      </c>
      <c r="P47" s="77">
        <f>+'budget entry'!E59</f>
        <v>1200</v>
      </c>
      <c r="Q47" s="77">
        <v>1200</v>
      </c>
      <c r="R47" s="197" t="s">
        <v>665</v>
      </c>
    </row>
    <row r="48" spans="1:18" s="195" customFormat="1" x14ac:dyDescent="0.3">
      <c r="A48" s="78" t="s">
        <v>467</v>
      </c>
      <c r="B48" s="77"/>
      <c r="C48" s="77">
        <v>714.87</v>
      </c>
      <c r="D48" s="77"/>
      <c r="E48" s="77"/>
      <c r="F48" s="77"/>
      <c r="G48" s="77"/>
      <c r="H48" s="77"/>
      <c r="I48" s="77"/>
      <c r="J48" s="77"/>
      <c r="K48" s="77"/>
      <c r="L48" s="77"/>
      <c r="M48" s="77"/>
      <c r="N48" s="332">
        <f t="shared" si="7"/>
        <v>714.87</v>
      </c>
      <c r="O48" s="341">
        <f t="shared" si="8"/>
        <v>0.119145</v>
      </c>
      <c r="P48" s="77">
        <f>+'budget entry'!E60</f>
        <v>6000</v>
      </c>
      <c r="Q48" s="77">
        <v>8333</v>
      </c>
    </row>
    <row r="49" spans="1:18" s="195" customFormat="1" x14ac:dyDescent="0.3">
      <c r="A49" s="78" t="s">
        <v>468</v>
      </c>
      <c r="B49" s="77"/>
      <c r="C49" s="77"/>
      <c r="D49" s="77"/>
      <c r="E49" s="77"/>
      <c r="F49" s="77"/>
      <c r="G49" s="77"/>
      <c r="H49" s="77"/>
      <c r="I49" s="77"/>
      <c r="J49" s="77"/>
      <c r="K49" s="77"/>
      <c r="L49" s="77"/>
      <c r="M49" s="77"/>
      <c r="N49" s="332">
        <f t="shared" si="7"/>
        <v>0</v>
      </c>
      <c r="O49" s="341">
        <f t="shared" si="8"/>
        <v>0</v>
      </c>
      <c r="P49" s="460">
        <f>+'budget entry'!E64</f>
        <v>5133</v>
      </c>
      <c r="Q49" s="77">
        <v>5133</v>
      </c>
    </row>
    <row r="50" spans="1:18" s="195" customFormat="1" x14ac:dyDescent="0.3">
      <c r="A50" s="78" t="s">
        <v>75</v>
      </c>
      <c r="B50" s="81"/>
      <c r="C50" s="81">
        <v>135</v>
      </c>
      <c r="D50" s="81"/>
      <c r="E50" s="81"/>
      <c r="F50" s="81"/>
      <c r="G50" s="81"/>
      <c r="H50" s="81"/>
      <c r="I50" s="81"/>
      <c r="J50" s="81"/>
      <c r="K50" s="81"/>
      <c r="L50" s="81"/>
      <c r="M50" s="81"/>
      <c r="N50" s="334">
        <f t="shared" si="7"/>
        <v>135</v>
      </c>
      <c r="O50" s="341" t="s">
        <v>15</v>
      </c>
      <c r="P50" s="461">
        <f>+'budget entry'!E61</f>
        <v>5000</v>
      </c>
      <c r="Q50" s="81">
        <v>5000</v>
      </c>
      <c r="R50" s="197" t="s">
        <v>671</v>
      </c>
    </row>
    <row r="51" spans="1:18" s="195" customFormat="1" x14ac:dyDescent="0.3">
      <c r="A51" s="60" t="s">
        <v>142</v>
      </c>
      <c r="B51" s="60">
        <f>SUM(B44:B50)</f>
        <v>8844.1</v>
      </c>
      <c r="C51" s="60">
        <f>SUM(C44:C50)</f>
        <v>10120.51</v>
      </c>
      <c r="D51" s="60">
        <f>SUM(D44:D50)</f>
        <v>0</v>
      </c>
      <c r="E51" s="60">
        <f>SUM(E44:E50)</f>
        <v>0</v>
      </c>
      <c r="F51" s="60">
        <f t="shared" ref="F51:M51" si="9">SUM(F44:F50)</f>
        <v>0</v>
      </c>
      <c r="G51" s="60">
        <f t="shared" si="9"/>
        <v>0</v>
      </c>
      <c r="H51" s="60">
        <f t="shared" si="9"/>
        <v>0</v>
      </c>
      <c r="I51" s="60">
        <f t="shared" si="9"/>
        <v>0</v>
      </c>
      <c r="J51" s="60">
        <f t="shared" si="9"/>
        <v>0</v>
      </c>
      <c r="K51" s="60">
        <f t="shared" si="9"/>
        <v>0</v>
      </c>
      <c r="L51" s="60">
        <f t="shared" si="9"/>
        <v>0</v>
      </c>
      <c r="M51" s="60">
        <f t="shared" si="9"/>
        <v>0</v>
      </c>
      <c r="N51" s="60">
        <f>SUM(N44:N50)</f>
        <v>18964.609999999997</v>
      </c>
      <c r="O51" s="341">
        <f>N51/P51</f>
        <v>0.13857041586604191</v>
      </c>
      <c r="P51" s="60">
        <f>SUM(P44:P50)</f>
        <v>136859.0105</v>
      </c>
      <c r="Q51" s="60">
        <f>SUM(Q44:Q50)</f>
        <v>146659</v>
      </c>
    </row>
    <row r="52" spans="1:18" s="195" customFormat="1" ht="10.199999999999999" customHeight="1" x14ac:dyDescent="0.3">
      <c r="A52" s="51"/>
      <c r="B52" s="51"/>
      <c r="C52" s="51"/>
      <c r="D52" s="51"/>
      <c r="E52" s="51"/>
      <c r="F52" s="51"/>
      <c r="G52" s="51"/>
      <c r="H52" s="51"/>
      <c r="I52" s="51"/>
      <c r="J52" s="51"/>
      <c r="K52" s="51"/>
      <c r="L52" s="51"/>
      <c r="M52" s="51"/>
      <c r="N52" s="51"/>
      <c r="O52" s="331"/>
      <c r="P52" s="51"/>
      <c r="Q52" s="51"/>
    </row>
    <row r="53" spans="1:18" s="195" customFormat="1" x14ac:dyDescent="0.3">
      <c r="A53" s="128" t="s">
        <v>126</v>
      </c>
      <c r="B53" s="51"/>
      <c r="C53" s="51"/>
      <c r="D53" s="51"/>
      <c r="E53" s="51"/>
      <c r="F53" s="51"/>
      <c r="G53" s="51"/>
      <c r="H53" s="51"/>
      <c r="I53" s="51"/>
      <c r="J53" s="51"/>
      <c r="K53" s="51"/>
      <c r="L53" s="51"/>
      <c r="M53" s="51"/>
      <c r="N53" s="51"/>
      <c r="O53" s="331"/>
      <c r="P53" s="51"/>
      <c r="Q53" s="51"/>
    </row>
    <row r="54" spans="1:18" s="195" customFormat="1" x14ac:dyDescent="0.3">
      <c r="A54" s="78" t="s">
        <v>120</v>
      </c>
      <c r="B54" s="77">
        <v>3362.17</v>
      </c>
      <c r="C54" s="77">
        <v>3071.67</v>
      </c>
      <c r="D54" s="77"/>
      <c r="E54" s="77"/>
      <c r="F54" s="77"/>
      <c r="G54" s="77"/>
      <c r="H54" s="77"/>
      <c r="I54" s="77"/>
      <c r="J54" s="77"/>
      <c r="K54" s="77"/>
      <c r="L54" s="77"/>
      <c r="M54" s="77"/>
      <c r="N54" s="332">
        <f>SUM(B54:M54)</f>
        <v>6433.84</v>
      </c>
      <c r="O54" s="341">
        <f t="shared" ref="O54:O59" si="10">N54/P54</f>
        <v>0.17454801953336951</v>
      </c>
      <c r="P54" s="77">
        <f>+'budget entry'!E70</f>
        <v>36860</v>
      </c>
      <c r="Q54" s="77">
        <v>38000</v>
      </c>
    </row>
    <row r="55" spans="1:18" s="195" customFormat="1" x14ac:dyDescent="0.3">
      <c r="A55" s="78" t="s">
        <v>497</v>
      </c>
      <c r="B55" s="77">
        <v>998.16</v>
      </c>
      <c r="C55" s="77">
        <v>1193.06</v>
      </c>
      <c r="D55" s="77"/>
      <c r="E55" s="77"/>
      <c r="F55" s="77"/>
      <c r="G55" s="77"/>
      <c r="H55" s="77"/>
      <c r="I55" s="77"/>
      <c r="J55" s="77"/>
      <c r="K55" s="77"/>
      <c r="L55" s="77"/>
      <c r="M55" s="77"/>
      <c r="N55" s="332">
        <f>SUM(B55:M55)</f>
        <v>2191.2199999999998</v>
      </c>
      <c r="O55" s="341">
        <f t="shared" si="10"/>
        <v>0.13415159015814337</v>
      </c>
      <c r="P55" s="77">
        <f>+'budget entry'!E71+'budget entry'!E72+'budget entry'!E73</f>
        <v>16333.91</v>
      </c>
      <c r="Q55" s="77">
        <f>551+7752+475+7709</f>
        <v>16487</v>
      </c>
    </row>
    <row r="56" spans="1:18" s="195" customFormat="1" x14ac:dyDescent="0.3">
      <c r="A56" s="78" t="s">
        <v>2</v>
      </c>
      <c r="B56" s="77"/>
      <c r="C56" s="77">
        <f>137.02+528.36</f>
        <v>665.38</v>
      </c>
      <c r="D56" s="77"/>
      <c r="E56" s="77"/>
      <c r="F56" s="77"/>
      <c r="G56" s="77"/>
      <c r="H56" s="77"/>
      <c r="I56" s="77"/>
      <c r="J56" s="77"/>
      <c r="K56" s="77"/>
      <c r="L56" s="77"/>
      <c r="M56" s="77"/>
      <c r="N56" s="332">
        <f>SUM(B56:M56)</f>
        <v>665.38</v>
      </c>
      <c r="O56" s="341">
        <f t="shared" si="10"/>
        <v>0.22179333333333334</v>
      </c>
      <c r="P56" s="77">
        <f>+'budget entry'!E74</f>
        <v>3000</v>
      </c>
      <c r="Q56" s="77">
        <v>5000</v>
      </c>
    </row>
    <row r="57" spans="1:18" s="195" customFormat="1" x14ac:dyDescent="0.3">
      <c r="A57" s="78" t="s">
        <v>567</v>
      </c>
      <c r="B57" s="77"/>
      <c r="C57" s="77"/>
      <c r="D57" s="77"/>
      <c r="E57" s="77"/>
      <c r="F57" s="77"/>
      <c r="G57" s="77"/>
      <c r="H57" s="77"/>
      <c r="I57" s="77"/>
      <c r="J57" s="77"/>
      <c r="K57" s="77"/>
      <c r="L57" s="77"/>
      <c r="M57" s="77"/>
      <c r="N57" s="332">
        <f>SUM(B57:M57)</f>
        <v>0</v>
      </c>
      <c r="O57" s="341">
        <f t="shared" si="10"/>
        <v>0</v>
      </c>
      <c r="P57" s="460">
        <f>+'budget entry'!E75</f>
        <v>5000</v>
      </c>
      <c r="Q57" s="77">
        <v>13200</v>
      </c>
    </row>
    <row r="58" spans="1:18" s="195" customFormat="1" x14ac:dyDescent="0.3">
      <c r="A58" s="78" t="s">
        <v>38</v>
      </c>
      <c r="B58" s="81">
        <f>4001.6+6223.75</f>
        <v>10225.35</v>
      </c>
      <c r="C58" s="81"/>
      <c r="D58" s="81"/>
      <c r="E58" s="81"/>
      <c r="F58" s="81"/>
      <c r="G58" s="81"/>
      <c r="H58" s="81"/>
      <c r="I58" s="81"/>
      <c r="J58" s="81"/>
      <c r="K58" s="81"/>
      <c r="L58" s="81"/>
      <c r="M58" s="81"/>
      <c r="N58" s="334">
        <f>SUM(B58:M58)</f>
        <v>10225.35</v>
      </c>
      <c r="O58" s="341">
        <f t="shared" si="10"/>
        <v>0.97384285714285723</v>
      </c>
      <c r="P58" s="81">
        <f>+'budget entry'!E77</f>
        <v>10500</v>
      </c>
      <c r="Q58" s="81">
        <v>10159</v>
      </c>
    </row>
    <row r="59" spans="1:18" s="195" customFormat="1" x14ac:dyDescent="0.3">
      <c r="A59" s="60" t="s">
        <v>143</v>
      </c>
      <c r="B59" s="60">
        <f t="shared" ref="B59:N59" si="11">SUM(B54:B58)</f>
        <v>14585.68</v>
      </c>
      <c r="C59" s="60">
        <f>SUM(C54:C58)</f>
        <v>4930.1099999999997</v>
      </c>
      <c r="D59" s="60">
        <f>SUM(D54:D58)</f>
        <v>0</v>
      </c>
      <c r="E59" s="60">
        <f t="shared" si="11"/>
        <v>0</v>
      </c>
      <c r="F59" s="60">
        <f t="shared" si="11"/>
        <v>0</v>
      </c>
      <c r="G59" s="60">
        <f t="shared" si="11"/>
        <v>0</v>
      </c>
      <c r="H59" s="60">
        <f t="shared" si="11"/>
        <v>0</v>
      </c>
      <c r="I59" s="60">
        <f t="shared" si="11"/>
        <v>0</v>
      </c>
      <c r="J59" s="60">
        <f t="shared" si="11"/>
        <v>0</v>
      </c>
      <c r="K59" s="60">
        <f t="shared" si="11"/>
        <v>0</v>
      </c>
      <c r="L59" s="60">
        <f t="shared" si="11"/>
        <v>0</v>
      </c>
      <c r="M59" s="60">
        <f t="shared" si="11"/>
        <v>0</v>
      </c>
      <c r="N59" s="60">
        <f t="shared" si="11"/>
        <v>19515.79</v>
      </c>
      <c r="O59" s="341">
        <f t="shared" si="10"/>
        <v>0.27220987110341727</v>
      </c>
      <c r="P59" s="60">
        <f>SUM(P54:P58)</f>
        <v>71693.91</v>
      </c>
      <c r="Q59" s="60">
        <f>+Q54+Q55+Q56+Q57+Q58</f>
        <v>82846</v>
      </c>
    </row>
    <row r="60" spans="1:18" s="195" customFormat="1" ht="10.95" customHeight="1" x14ac:dyDescent="0.3">
      <c r="A60" s="51"/>
      <c r="B60" s="51"/>
      <c r="C60" s="51"/>
      <c r="D60" s="51"/>
      <c r="E60" s="51"/>
      <c r="F60" s="51"/>
      <c r="G60" s="51"/>
      <c r="H60" s="51"/>
      <c r="I60" s="51"/>
      <c r="J60" s="51"/>
      <c r="K60" s="51"/>
      <c r="L60" s="51"/>
      <c r="M60" s="51"/>
      <c r="N60" s="51"/>
      <c r="O60" s="331"/>
      <c r="P60" s="51"/>
      <c r="Q60" s="51"/>
    </row>
    <row r="61" spans="1:18" s="195" customFormat="1" x14ac:dyDescent="0.3">
      <c r="A61" s="128" t="s">
        <v>218</v>
      </c>
      <c r="B61" s="51"/>
      <c r="C61" s="51"/>
      <c r="D61" s="51"/>
      <c r="E61" s="51"/>
      <c r="F61" s="51"/>
      <c r="G61" s="51"/>
      <c r="H61" s="51"/>
      <c r="I61" s="51"/>
      <c r="J61" s="51"/>
      <c r="K61" s="51"/>
      <c r="L61" s="51"/>
      <c r="M61" s="51"/>
      <c r="N61" s="51"/>
      <c r="O61" s="331"/>
      <c r="P61" s="51"/>
      <c r="Q61" s="51"/>
    </row>
    <row r="62" spans="1:18" s="195" customFormat="1" x14ac:dyDescent="0.3">
      <c r="A62" s="78" t="s">
        <v>1</v>
      </c>
      <c r="B62" s="51">
        <v>4637.07</v>
      </c>
      <c r="C62" s="51">
        <v>4637.07</v>
      </c>
      <c r="D62" s="51"/>
      <c r="E62" s="51"/>
      <c r="F62" s="51"/>
      <c r="G62" s="51"/>
      <c r="H62" s="51"/>
      <c r="I62" s="51"/>
      <c r="J62" s="51"/>
      <c r="K62" s="51"/>
      <c r="L62" s="51"/>
      <c r="M62" s="51"/>
      <c r="N62" s="332">
        <f t="shared" ref="N62:N71" si="12">SUM(B62:M62)</f>
        <v>9274.14</v>
      </c>
      <c r="O62" s="341">
        <f t="shared" ref="O62:O71" si="13">N62/P62</f>
        <v>0.13281824196786859</v>
      </c>
      <c r="P62" s="51">
        <f>+'budget entry'!E82</f>
        <v>69825.8</v>
      </c>
      <c r="Q62" s="51">
        <v>65060</v>
      </c>
    </row>
    <row r="63" spans="1:18" s="195" customFormat="1" x14ac:dyDescent="0.3">
      <c r="A63" s="78" t="s">
        <v>121</v>
      </c>
      <c r="B63" s="51"/>
      <c r="C63" s="51"/>
      <c r="D63" s="51"/>
      <c r="E63" s="51"/>
      <c r="F63" s="51"/>
      <c r="G63" s="51"/>
      <c r="H63" s="51"/>
      <c r="I63" s="51"/>
      <c r="J63" s="51"/>
      <c r="K63" s="51"/>
      <c r="L63" s="51"/>
      <c r="M63" s="51"/>
      <c r="N63" s="332">
        <f t="shared" si="12"/>
        <v>0</v>
      </c>
      <c r="O63" s="341">
        <f t="shared" si="13"/>
        <v>0</v>
      </c>
      <c r="P63" s="51">
        <f>+'budget entry'!E83</f>
        <v>2000</v>
      </c>
      <c r="Q63" s="51">
        <v>2000</v>
      </c>
    </row>
    <row r="64" spans="1:18" s="195" customFormat="1" x14ac:dyDescent="0.3">
      <c r="A64" s="78" t="s">
        <v>497</v>
      </c>
      <c r="B64" s="51">
        <v>1403.61</v>
      </c>
      <c r="C64" s="51">
        <v>1403.03</v>
      </c>
      <c r="D64" s="51"/>
      <c r="E64" s="51"/>
      <c r="F64" s="51"/>
      <c r="G64" s="51"/>
      <c r="H64" s="51"/>
      <c r="I64" s="51"/>
      <c r="J64" s="51"/>
      <c r="K64" s="51"/>
      <c r="L64" s="51"/>
      <c r="M64" s="51"/>
      <c r="N64" s="332">
        <f t="shared" si="12"/>
        <v>2806.64</v>
      </c>
      <c r="O64" s="341">
        <f t="shared" si="13"/>
        <v>0.12498209135823765</v>
      </c>
      <c r="P64" s="51">
        <f>+'budget entry'!E84+'budget entry'!E85+'budget entry'!E86</f>
        <v>22456.337299999999</v>
      </c>
      <c r="Q64" s="51">
        <f>980+13272+813+7710</f>
        <v>22775</v>
      </c>
    </row>
    <row r="65" spans="1:18" s="195" customFormat="1" x14ac:dyDescent="0.3">
      <c r="A65" s="78" t="s">
        <v>470</v>
      </c>
      <c r="B65" s="51">
        <v>500.17</v>
      </c>
      <c r="C65" s="51">
        <v>2185.35</v>
      </c>
      <c r="D65" s="51"/>
      <c r="E65" s="51"/>
      <c r="F65" s="51"/>
      <c r="G65" s="51"/>
      <c r="H65" s="51"/>
      <c r="I65" s="51"/>
      <c r="J65" s="51"/>
      <c r="K65" s="51"/>
      <c r="L65" s="51"/>
      <c r="M65" s="51"/>
      <c r="N65" s="332">
        <f t="shared" si="12"/>
        <v>2685.52</v>
      </c>
      <c r="O65" s="341">
        <f t="shared" si="13"/>
        <v>0.22379333333333334</v>
      </c>
      <c r="P65" s="51">
        <f>+'budget entry'!E87</f>
        <v>12000</v>
      </c>
      <c r="Q65" s="51">
        <v>12000</v>
      </c>
    </row>
    <row r="66" spans="1:18" s="195" customFormat="1" x14ac:dyDescent="0.3">
      <c r="A66" s="78" t="s">
        <v>471</v>
      </c>
      <c r="B66" s="51"/>
      <c r="C66" s="51">
        <v>21.96</v>
      </c>
      <c r="D66" s="51"/>
      <c r="E66" s="51"/>
      <c r="F66" s="51"/>
      <c r="G66" s="51"/>
      <c r="H66" s="51"/>
      <c r="I66" s="51"/>
      <c r="J66" s="51"/>
      <c r="K66" s="51"/>
      <c r="L66" s="51"/>
      <c r="M66" s="51"/>
      <c r="N66" s="332">
        <f t="shared" si="12"/>
        <v>21.96</v>
      </c>
      <c r="O66" s="341">
        <f t="shared" si="13"/>
        <v>7.3200000000000001E-3</v>
      </c>
      <c r="P66" s="51">
        <f>+'budget entry'!E88</f>
        <v>3000</v>
      </c>
      <c r="Q66" s="51">
        <v>3000</v>
      </c>
    </row>
    <row r="67" spans="1:18" s="195" customFormat="1" x14ac:dyDescent="0.3">
      <c r="A67" s="78" t="s">
        <v>414</v>
      </c>
      <c r="B67" s="51"/>
      <c r="C67" s="51"/>
      <c r="D67" s="51"/>
      <c r="E67" s="51"/>
      <c r="F67" s="51"/>
      <c r="G67" s="51"/>
      <c r="H67" s="51"/>
      <c r="I67" s="51"/>
      <c r="J67" s="51"/>
      <c r="K67" s="51"/>
      <c r="L67" s="51"/>
      <c r="M67" s="51"/>
      <c r="N67" s="332">
        <f t="shared" si="12"/>
        <v>0</v>
      </c>
      <c r="O67" s="341">
        <f t="shared" si="13"/>
        <v>0</v>
      </c>
      <c r="P67" s="51">
        <f>+'budget entry'!E89</f>
        <v>5000</v>
      </c>
      <c r="Q67" s="51">
        <v>5000</v>
      </c>
    </row>
    <row r="68" spans="1:18" s="195" customFormat="1" x14ac:dyDescent="0.3">
      <c r="A68" s="78" t="s">
        <v>42</v>
      </c>
      <c r="B68" s="51"/>
      <c r="C68" s="51">
        <v>3600</v>
      </c>
      <c r="D68" s="51"/>
      <c r="E68" s="51"/>
      <c r="F68" s="51"/>
      <c r="G68" s="51"/>
      <c r="H68" s="51"/>
      <c r="I68" s="51"/>
      <c r="J68" s="51"/>
      <c r="K68" s="51"/>
      <c r="L68" s="51"/>
      <c r="M68" s="51"/>
      <c r="N68" s="332">
        <f t="shared" si="12"/>
        <v>3600</v>
      </c>
      <c r="O68" s="341">
        <f t="shared" si="13"/>
        <v>0.45</v>
      </c>
      <c r="P68" s="51">
        <f>+'budget entry'!E90</f>
        <v>8000</v>
      </c>
      <c r="Q68" s="51">
        <v>8000</v>
      </c>
    </row>
    <row r="69" spans="1:18" s="195" customFormat="1" x14ac:dyDescent="0.3">
      <c r="A69" s="78" t="s">
        <v>472</v>
      </c>
      <c r="B69" s="51"/>
      <c r="C69" s="51"/>
      <c r="D69" s="51"/>
      <c r="E69" s="51"/>
      <c r="F69" s="51"/>
      <c r="G69" s="51"/>
      <c r="H69" s="51"/>
      <c r="I69" s="51"/>
      <c r="J69" s="51"/>
      <c r="K69" s="51"/>
      <c r="L69" s="51"/>
      <c r="M69" s="51"/>
      <c r="N69" s="332">
        <f t="shared" si="12"/>
        <v>0</v>
      </c>
      <c r="O69" s="341">
        <f t="shared" si="13"/>
        <v>0</v>
      </c>
      <c r="P69" s="51">
        <f>+'budget entry'!E91</f>
        <v>4800</v>
      </c>
      <c r="Q69" s="51">
        <v>4800</v>
      </c>
    </row>
    <row r="70" spans="1:18" s="195" customFormat="1" x14ac:dyDescent="0.3">
      <c r="A70" s="78" t="s">
        <v>475</v>
      </c>
      <c r="B70" s="51">
        <v>680</v>
      </c>
      <c r="C70" s="51">
        <f>57.11+43.05-680</f>
        <v>-579.84</v>
      </c>
      <c r="D70" s="51"/>
      <c r="E70" s="51"/>
      <c r="F70" s="51"/>
      <c r="G70" s="51"/>
      <c r="H70" s="51"/>
      <c r="I70" s="51"/>
      <c r="J70" s="51"/>
      <c r="K70" s="51"/>
      <c r="L70" s="51"/>
      <c r="M70" s="51"/>
      <c r="N70" s="332">
        <f t="shared" si="12"/>
        <v>100.15999999999997</v>
      </c>
      <c r="O70" s="341">
        <f t="shared" si="13"/>
        <v>1.0015999999999997E-2</v>
      </c>
      <c r="P70" s="58">
        <f>+'budget entry'!E92</f>
        <v>10000</v>
      </c>
      <c r="Q70" s="51">
        <v>10000</v>
      </c>
      <c r="R70" s="195" t="s">
        <v>649</v>
      </c>
    </row>
    <row r="71" spans="1:18" s="195" customFormat="1" x14ac:dyDescent="0.3">
      <c r="A71" s="78" t="s">
        <v>566</v>
      </c>
      <c r="B71" s="63">
        <f>2244.32+6732.96</f>
        <v>8977.2800000000007</v>
      </c>
      <c r="C71" s="63">
        <f>2244.32+6732.96</f>
        <v>8977.2800000000007</v>
      </c>
      <c r="D71" s="63"/>
      <c r="E71" s="63"/>
      <c r="F71" s="63"/>
      <c r="G71" s="63"/>
      <c r="H71" s="63"/>
      <c r="I71" s="63"/>
      <c r="J71" s="63"/>
      <c r="K71" s="63"/>
      <c r="L71" s="63"/>
      <c r="M71" s="63"/>
      <c r="N71" s="334">
        <f t="shared" si="12"/>
        <v>17954.560000000001</v>
      </c>
      <c r="O71" s="341">
        <f t="shared" si="13"/>
        <v>0.1638787878787879</v>
      </c>
      <c r="P71" s="461">
        <f>+'budget entry'!E93</f>
        <v>109560</v>
      </c>
      <c r="Q71" s="63">
        <v>77015</v>
      </c>
    </row>
    <row r="72" spans="1:18" s="195" customFormat="1" x14ac:dyDescent="0.3">
      <c r="A72" s="60" t="s">
        <v>158</v>
      </c>
      <c r="B72" s="60">
        <f>SUM(B62:B71)</f>
        <v>16198.130000000001</v>
      </c>
      <c r="C72" s="60">
        <f>SUM(C62:C71)</f>
        <v>20244.849999999999</v>
      </c>
      <c r="D72" s="60">
        <f>SUM(D62:D71)</f>
        <v>0</v>
      </c>
      <c r="E72" s="60">
        <f>SUM(E62:E71)</f>
        <v>0</v>
      </c>
      <c r="F72" s="60">
        <f t="shared" ref="F72:M72" si="14">SUM(F62:F71)</f>
        <v>0</v>
      </c>
      <c r="G72" s="60">
        <f t="shared" si="14"/>
        <v>0</v>
      </c>
      <c r="H72" s="60">
        <f t="shared" si="14"/>
        <v>0</v>
      </c>
      <c r="I72" s="60">
        <f t="shared" si="14"/>
        <v>0</v>
      </c>
      <c r="J72" s="60">
        <f t="shared" si="14"/>
        <v>0</v>
      </c>
      <c r="K72" s="60">
        <f t="shared" si="14"/>
        <v>0</v>
      </c>
      <c r="L72" s="60">
        <f t="shared" si="14"/>
        <v>0</v>
      </c>
      <c r="M72" s="60">
        <f t="shared" si="14"/>
        <v>0</v>
      </c>
      <c r="N72" s="60">
        <f>SUM(N62:N71)</f>
        <v>36442.979999999996</v>
      </c>
      <c r="O72" s="341">
        <f>N72/P72</f>
        <v>0.14775650421676748</v>
      </c>
      <c r="P72" s="60">
        <f>SUM(P62:P71)</f>
        <v>246642.1373</v>
      </c>
      <c r="Q72" s="60">
        <f>SUM(Q62:Q71)</f>
        <v>209650</v>
      </c>
    </row>
    <row r="73" spans="1:18" s="195" customFormat="1" ht="12.6" customHeight="1" x14ac:dyDescent="0.3">
      <c r="A73" s="51"/>
      <c r="B73" s="51"/>
      <c r="C73" s="51"/>
      <c r="D73" s="51"/>
      <c r="E73" s="51"/>
      <c r="F73" s="51"/>
      <c r="G73" s="51"/>
      <c r="H73" s="51"/>
      <c r="I73" s="51"/>
      <c r="J73" s="51"/>
      <c r="K73" s="51"/>
      <c r="L73" s="51"/>
      <c r="M73" s="51"/>
      <c r="N73" s="51"/>
      <c r="O73" s="331"/>
      <c r="P73" s="51"/>
      <c r="Q73" s="51"/>
    </row>
    <row r="74" spans="1:18" s="195" customFormat="1" x14ac:dyDescent="0.3">
      <c r="A74" s="128" t="s">
        <v>20</v>
      </c>
      <c r="B74" s="51"/>
      <c r="C74" s="51"/>
      <c r="D74" s="51"/>
      <c r="E74" s="51"/>
      <c r="F74" s="51"/>
      <c r="G74" s="51"/>
      <c r="H74" s="51"/>
      <c r="I74" s="51"/>
      <c r="J74" s="51"/>
      <c r="K74" s="51"/>
      <c r="L74" s="51"/>
      <c r="M74" s="51"/>
      <c r="N74" s="51"/>
      <c r="O74" s="331"/>
      <c r="P74" s="51"/>
      <c r="Q74" s="51"/>
    </row>
    <row r="75" spans="1:18" s="195" customFormat="1" x14ac:dyDescent="0.3">
      <c r="A75" s="78" t="s">
        <v>1</v>
      </c>
      <c r="B75" s="78">
        <v>13847.67</v>
      </c>
      <c r="C75" s="78">
        <v>13847.67</v>
      </c>
      <c r="D75" s="78"/>
      <c r="E75" s="78"/>
      <c r="F75" s="78"/>
      <c r="G75" s="78"/>
      <c r="H75" s="78"/>
      <c r="I75" s="78"/>
      <c r="J75" s="78"/>
      <c r="K75" s="78"/>
      <c r="L75" s="78"/>
      <c r="M75" s="78"/>
      <c r="N75" s="332">
        <f>SUM(B75:M75)</f>
        <v>27695.34</v>
      </c>
      <c r="O75" s="341">
        <f t="shared" ref="O75:O80" si="15">N75/P75</f>
        <v>0.16666670678574008</v>
      </c>
      <c r="P75" s="78">
        <f>+'budget entry'!E97</f>
        <v>166172</v>
      </c>
      <c r="Q75" s="78">
        <v>164516</v>
      </c>
    </row>
    <row r="76" spans="1:18" s="195" customFormat="1" ht="18" customHeight="1" x14ac:dyDescent="0.3">
      <c r="A76" s="78" t="s">
        <v>673</v>
      </c>
      <c r="B76" s="78"/>
      <c r="C76" s="78"/>
      <c r="D76" s="78"/>
      <c r="F76" s="78"/>
      <c r="G76" s="78"/>
      <c r="H76" s="78"/>
      <c r="I76" s="78"/>
      <c r="J76" s="78"/>
      <c r="K76" s="78"/>
      <c r="L76" s="78"/>
      <c r="M76" s="78"/>
      <c r="N76" s="332">
        <f>SUM(B76:M76)</f>
        <v>0</v>
      </c>
      <c r="O76" s="341">
        <f t="shared" si="15"/>
        <v>0</v>
      </c>
      <c r="P76" s="78">
        <f>+'budget entry'!E98</f>
        <v>15000</v>
      </c>
      <c r="Q76" s="78">
        <v>15000</v>
      </c>
    </row>
    <row r="77" spans="1:18" s="195" customFormat="1" x14ac:dyDescent="0.3">
      <c r="A77" s="78" t="s">
        <v>497</v>
      </c>
      <c r="B77" s="78">
        <v>3625.35</v>
      </c>
      <c r="C77" s="78">
        <v>3625.35</v>
      </c>
      <c r="D77" s="78"/>
      <c r="E77" s="78"/>
      <c r="F77" s="78"/>
      <c r="G77" s="78"/>
      <c r="H77" s="78"/>
      <c r="I77" s="78"/>
      <c r="J77" s="78"/>
      <c r="K77" s="78"/>
      <c r="L77" s="78"/>
      <c r="M77" s="78"/>
      <c r="N77" s="332">
        <f>SUM(B77:M77)</f>
        <v>7250.7</v>
      </c>
      <c r="O77" s="341">
        <f t="shared" si="15"/>
        <v>0.10280877363923321</v>
      </c>
      <c r="P77" s="77">
        <f>+'budget entry'!E99+'budget entry'!E100+'budget entry'!E101</f>
        <v>70526.081999999995</v>
      </c>
      <c r="Q77" s="78">
        <f>2603+33561+2056+30835</f>
        <v>69055</v>
      </c>
    </row>
    <row r="78" spans="1:18" s="195" customFormat="1" x14ac:dyDescent="0.3">
      <c r="A78" s="79" t="s">
        <v>43</v>
      </c>
      <c r="B78" s="77"/>
      <c r="C78" s="77">
        <f>52.14+1079.95</f>
        <v>1132.0900000000001</v>
      </c>
      <c r="D78" s="77"/>
      <c r="E78" s="77"/>
      <c r="F78" s="77"/>
      <c r="G78" s="77"/>
      <c r="H78" s="77"/>
      <c r="I78" s="77"/>
      <c r="J78" s="77"/>
      <c r="K78" s="77"/>
      <c r="L78" s="77"/>
      <c r="M78" s="77"/>
      <c r="N78" s="332">
        <f>SUM(B78:M78)</f>
        <v>1132.0900000000001</v>
      </c>
      <c r="O78" s="341">
        <f t="shared" si="15"/>
        <v>0.17711045056320404</v>
      </c>
      <c r="P78" s="460">
        <f>+'budget entry'!E102</f>
        <v>6392</v>
      </c>
      <c r="Q78" s="77">
        <v>6392</v>
      </c>
    </row>
    <row r="79" spans="1:18" s="195" customFormat="1" x14ac:dyDescent="0.3">
      <c r="A79" s="79" t="s">
        <v>45</v>
      </c>
      <c r="B79" s="81"/>
      <c r="C79" s="81"/>
      <c r="D79" s="81"/>
      <c r="E79" s="81"/>
      <c r="F79" s="81"/>
      <c r="G79" s="81"/>
      <c r="H79" s="81"/>
      <c r="I79" s="81"/>
      <c r="J79" s="81"/>
      <c r="K79" s="81"/>
      <c r="L79" s="81"/>
      <c r="M79" s="81"/>
      <c r="N79" s="334">
        <f>SUM(B79:M79)</f>
        <v>0</v>
      </c>
      <c r="O79" s="341">
        <f t="shared" si="15"/>
        <v>0</v>
      </c>
      <c r="P79" s="81">
        <f>+'budget entry'!E104</f>
        <v>500</v>
      </c>
      <c r="Q79" s="81">
        <v>500</v>
      </c>
    </row>
    <row r="80" spans="1:18" s="195" customFormat="1" x14ac:dyDescent="0.3">
      <c r="A80" s="60" t="s">
        <v>144</v>
      </c>
      <c r="B80" s="60">
        <f t="shared" ref="B80:N80" si="16">SUM(B75:B79)</f>
        <v>17473.02</v>
      </c>
      <c r="C80" s="60">
        <f t="shared" si="16"/>
        <v>18605.11</v>
      </c>
      <c r="D80" s="60">
        <f t="shared" si="16"/>
        <v>0</v>
      </c>
      <c r="E80" s="60">
        <f t="shared" si="16"/>
        <v>0</v>
      </c>
      <c r="F80" s="60">
        <f t="shared" si="16"/>
        <v>0</v>
      </c>
      <c r="G80" s="60">
        <f t="shared" si="16"/>
        <v>0</v>
      </c>
      <c r="H80" s="60">
        <f t="shared" si="16"/>
        <v>0</v>
      </c>
      <c r="I80" s="60">
        <f t="shared" si="16"/>
        <v>0</v>
      </c>
      <c r="J80" s="60">
        <f t="shared" si="16"/>
        <v>0</v>
      </c>
      <c r="K80" s="60">
        <f t="shared" si="16"/>
        <v>0</v>
      </c>
      <c r="L80" s="60">
        <f t="shared" si="16"/>
        <v>0</v>
      </c>
      <c r="M80" s="60">
        <f t="shared" si="16"/>
        <v>0</v>
      </c>
      <c r="N80" s="60">
        <f t="shared" si="16"/>
        <v>36078.130000000005</v>
      </c>
      <c r="O80" s="341">
        <f t="shared" si="15"/>
        <v>0.13951861463890175</v>
      </c>
      <c r="P80" s="60">
        <f>SUM(P75:P79)</f>
        <v>258590.08199999999</v>
      </c>
      <c r="Q80" s="60">
        <f>SUM(Q75:Q79)</f>
        <v>255463</v>
      </c>
    </row>
    <row r="81" spans="1:17" s="195" customFormat="1" ht="10.199999999999999" customHeight="1" x14ac:dyDescent="0.3">
      <c r="A81" s="51"/>
      <c r="B81" s="51"/>
      <c r="C81" s="51"/>
      <c r="D81" s="51"/>
      <c r="E81" s="51"/>
      <c r="F81" s="51"/>
      <c r="G81" s="51"/>
      <c r="H81" s="51"/>
      <c r="I81" s="51"/>
      <c r="J81" s="51"/>
      <c r="K81" s="51"/>
      <c r="L81" s="51"/>
      <c r="M81" s="51"/>
      <c r="N81" s="51"/>
      <c r="O81" s="331"/>
      <c r="P81" s="51"/>
      <c r="Q81" s="51"/>
    </row>
    <row r="82" spans="1:17" s="195" customFormat="1" x14ac:dyDescent="0.3">
      <c r="A82" s="128" t="s">
        <v>131</v>
      </c>
      <c r="B82" s="51"/>
      <c r="C82" s="51"/>
      <c r="D82" s="51"/>
      <c r="E82" s="51"/>
      <c r="F82" s="51"/>
      <c r="G82" s="51"/>
      <c r="H82" s="51"/>
      <c r="I82" s="51"/>
      <c r="J82" s="51"/>
      <c r="K82" s="51"/>
      <c r="L82" s="51"/>
      <c r="M82" s="51"/>
      <c r="N82" s="51"/>
      <c r="O82" s="331"/>
      <c r="P82" s="51"/>
      <c r="Q82" s="51"/>
    </row>
    <row r="83" spans="1:17" s="195" customFormat="1" x14ac:dyDescent="0.3">
      <c r="A83" s="78" t="s">
        <v>1</v>
      </c>
      <c r="B83" s="51">
        <v>4076.35</v>
      </c>
      <c r="C83" s="51">
        <v>4076.35</v>
      </c>
      <c r="D83" s="51"/>
      <c r="E83" s="51"/>
      <c r="F83" s="51"/>
      <c r="G83" s="51"/>
      <c r="H83" s="51"/>
      <c r="I83" s="51"/>
      <c r="J83" s="51"/>
      <c r="K83" s="51"/>
      <c r="L83" s="51"/>
      <c r="M83" s="51"/>
      <c r="N83" s="332">
        <f t="shared" ref="N83:N92" si="17">SUM(B83:M83)</f>
        <v>8152.7</v>
      </c>
      <c r="O83" s="341">
        <f t="shared" ref="O83:O92" si="18">N83/P83</f>
        <v>0.16665372035977105</v>
      </c>
      <c r="P83" s="51">
        <f>+'budget entry'!E109</f>
        <v>48920</v>
      </c>
      <c r="Q83" s="51">
        <v>48920</v>
      </c>
    </row>
    <row r="84" spans="1:17" s="195" customFormat="1" x14ac:dyDescent="0.3">
      <c r="A84" s="78" t="s">
        <v>213</v>
      </c>
      <c r="B84" s="51"/>
      <c r="C84" s="51"/>
      <c r="D84" s="51"/>
      <c r="E84" s="51"/>
      <c r="F84" s="51"/>
      <c r="G84" s="51"/>
      <c r="H84" s="51"/>
      <c r="I84" s="51"/>
      <c r="J84" s="51"/>
      <c r="K84" s="51"/>
      <c r="L84" s="51"/>
      <c r="M84" s="51"/>
      <c r="N84" s="332">
        <f t="shared" si="17"/>
        <v>0</v>
      </c>
      <c r="O84" s="341">
        <f t="shared" si="18"/>
        <v>0</v>
      </c>
      <c r="P84" s="460">
        <f>+'budget entry'!E110</f>
        <v>5000</v>
      </c>
      <c r="Q84" s="51">
        <v>5000</v>
      </c>
    </row>
    <row r="85" spans="1:17" s="195" customFormat="1" x14ac:dyDescent="0.3">
      <c r="A85" s="78" t="s">
        <v>497</v>
      </c>
      <c r="B85" s="51">
        <v>1313.52</v>
      </c>
      <c r="C85" s="51">
        <v>1313.52</v>
      </c>
      <c r="D85" s="51"/>
      <c r="E85" s="51"/>
      <c r="F85" s="51"/>
      <c r="G85" s="51"/>
      <c r="H85" s="51"/>
      <c r="I85" s="51"/>
      <c r="J85" s="51"/>
      <c r="K85" s="51"/>
      <c r="L85" s="51"/>
      <c r="M85" s="51"/>
      <c r="N85" s="332">
        <f t="shared" si="17"/>
        <v>2627.04</v>
      </c>
      <c r="O85" s="341">
        <f t="shared" si="18"/>
        <v>0.14668825730079849</v>
      </c>
      <c r="P85" s="51">
        <f>+'budget entry'!E111+'budget entry'!E112+'budget entry'!E113</f>
        <v>17909</v>
      </c>
      <c r="Q85" s="51">
        <f>709+10000+612+6200</f>
        <v>17521</v>
      </c>
    </row>
    <row r="86" spans="1:17" s="195" customFormat="1" x14ac:dyDescent="0.3">
      <c r="A86" s="78" t="s">
        <v>477</v>
      </c>
      <c r="B86" s="51"/>
      <c r="C86" s="51"/>
      <c r="D86" s="51"/>
      <c r="E86" s="51"/>
      <c r="F86" s="51"/>
      <c r="G86" s="51"/>
      <c r="H86" s="51"/>
      <c r="I86" s="51"/>
      <c r="J86" s="51"/>
      <c r="K86" s="51"/>
      <c r="L86" s="51"/>
      <c r="M86" s="51"/>
      <c r="N86" s="332">
        <f t="shared" si="17"/>
        <v>0</v>
      </c>
      <c r="O86" s="467" t="s">
        <v>15</v>
      </c>
      <c r="P86" s="51" t="s">
        <v>15</v>
      </c>
      <c r="Q86" s="51">
        <v>720</v>
      </c>
    </row>
    <row r="87" spans="1:17" s="195" customFormat="1" x14ac:dyDescent="0.3">
      <c r="A87" s="78" t="s">
        <v>0</v>
      </c>
      <c r="B87" s="51">
        <v>250</v>
      </c>
      <c r="C87" s="51"/>
      <c r="D87" s="51"/>
      <c r="E87" s="51"/>
      <c r="F87" s="51"/>
      <c r="G87" s="51"/>
      <c r="H87" s="51"/>
      <c r="I87" s="51"/>
      <c r="J87" s="51"/>
      <c r="K87" s="51"/>
      <c r="L87" s="51"/>
      <c r="M87" s="51"/>
      <c r="N87" s="332">
        <f t="shared" si="17"/>
        <v>250</v>
      </c>
      <c r="O87" s="341">
        <f t="shared" si="18"/>
        <v>0.125</v>
      </c>
      <c r="P87" s="51">
        <f>+'budget entry'!E114</f>
        <v>2000</v>
      </c>
      <c r="Q87" s="51">
        <v>500</v>
      </c>
    </row>
    <row r="88" spans="1:17" s="195" customFormat="1" x14ac:dyDescent="0.3">
      <c r="A88" s="78" t="s">
        <v>57</v>
      </c>
      <c r="B88" s="51"/>
      <c r="C88" s="51"/>
      <c r="D88" s="51"/>
      <c r="E88" s="51"/>
      <c r="F88" s="51"/>
      <c r="G88" s="51"/>
      <c r="H88" s="51"/>
      <c r="I88" s="51"/>
      <c r="J88" s="51"/>
      <c r="K88" s="51"/>
      <c r="L88" s="51"/>
      <c r="M88" s="51"/>
      <c r="N88" s="332">
        <f t="shared" si="17"/>
        <v>0</v>
      </c>
      <c r="O88" s="341">
        <f t="shared" si="18"/>
        <v>0</v>
      </c>
      <c r="P88" s="51">
        <f>+'budget entry'!E115</f>
        <v>2000</v>
      </c>
      <c r="Q88" s="51">
        <v>1000</v>
      </c>
    </row>
    <row r="89" spans="1:17" s="195" customFormat="1" x14ac:dyDescent="0.3">
      <c r="A89" s="78" t="s">
        <v>132</v>
      </c>
      <c r="B89" s="51"/>
      <c r="C89" s="51"/>
      <c r="D89" s="51"/>
      <c r="E89" s="51"/>
      <c r="F89" s="51"/>
      <c r="G89" s="51"/>
      <c r="H89" s="51"/>
      <c r="I89" s="51"/>
      <c r="J89" s="51"/>
      <c r="K89" s="51"/>
      <c r="L89" s="51"/>
      <c r="M89" s="51"/>
      <c r="N89" s="332">
        <f t="shared" si="17"/>
        <v>0</v>
      </c>
      <c r="O89" s="341">
        <f t="shared" si="18"/>
        <v>0</v>
      </c>
      <c r="P89" s="51">
        <f>+'budget entry'!E116</f>
        <v>200</v>
      </c>
      <c r="Q89" s="51">
        <v>200</v>
      </c>
    </row>
    <row r="90" spans="1:17" s="195" customFormat="1" x14ac:dyDescent="0.3">
      <c r="A90" s="78" t="s">
        <v>7</v>
      </c>
      <c r="B90" s="51">
        <v>174.76</v>
      </c>
      <c r="C90" s="51">
        <v>63.99</v>
      </c>
      <c r="D90" s="51"/>
      <c r="E90" s="51"/>
      <c r="F90" s="51"/>
      <c r="G90" s="51"/>
      <c r="H90" s="51"/>
      <c r="I90" s="51"/>
      <c r="J90" s="51"/>
      <c r="K90" s="51"/>
      <c r="L90" s="51"/>
      <c r="M90" s="51"/>
      <c r="N90" s="332">
        <f t="shared" si="17"/>
        <v>238.75</v>
      </c>
      <c r="O90" s="341">
        <f t="shared" si="18"/>
        <v>9.947916666666666E-2</v>
      </c>
      <c r="P90" s="51">
        <f>+'budget entry'!E117</f>
        <v>2400</v>
      </c>
      <c r="Q90" s="51">
        <v>2400</v>
      </c>
    </row>
    <row r="91" spans="1:17" s="195" customFormat="1" x14ac:dyDescent="0.3">
      <c r="A91" s="78" t="s">
        <v>574</v>
      </c>
      <c r="B91" s="51"/>
      <c r="C91" s="51"/>
      <c r="D91" s="51"/>
      <c r="E91" s="51"/>
      <c r="F91" s="51"/>
      <c r="G91" s="51"/>
      <c r="H91" s="51"/>
      <c r="I91" s="51"/>
      <c r="J91" s="51"/>
      <c r="K91" s="51"/>
      <c r="L91" s="51"/>
      <c r="M91" s="51"/>
      <c r="N91" s="332">
        <f t="shared" si="17"/>
        <v>0</v>
      </c>
      <c r="O91" s="341">
        <f t="shared" si="18"/>
        <v>0</v>
      </c>
      <c r="P91" s="460">
        <f>+'budget entry'!E118</f>
        <v>3500</v>
      </c>
      <c r="Q91" s="51">
        <v>500</v>
      </c>
    </row>
    <row r="92" spans="1:17" s="195" customFormat="1" x14ac:dyDescent="0.3">
      <c r="A92" s="78" t="s">
        <v>133</v>
      </c>
      <c r="B92" s="63">
        <v>375.82</v>
      </c>
      <c r="C92" s="63">
        <v>196.11</v>
      </c>
      <c r="D92" s="63"/>
      <c r="E92" s="63"/>
      <c r="F92" s="63"/>
      <c r="G92" s="63"/>
      <c r="H92" s="63"/>
      <c r="I92" s="63"/>
      <c r="J92" s="63"/>
      <c r="K92" s="63"/>
      <c r="L92" s="63"/>
      <c r="M92" s="63"/>
      <c r="N92" s="334">
        <f t="shared" si="17"/>
        <v>571.93000000000006</v>
      </c>
      <c r="O92" s="341">
        <f t="shared" si="18"/>
        <v>0.16340857142857146</v>
      </c>
      <c r="P92" s="63">
        <f>+'budget entry'!E119</f>
        <v>3500</v>
      </c>
      <c r="Q92" s="63">
        <v>3300</v>
      </c>
    </row>
    <row r="93" spans="1:17" s="195" customFormat="1" x14ac:dyDescent="0.3">
      <c r="A93" s="2" t="s">
        <v>131</v>
      </c>
      <c r="B93" s="2">
        <f>SUM(B83:B92)</f>
        <v>6190.45</v>
      </c>
      <c r="C93" s="2">
        <f>SUM(C83:C92)</f>
        <v>5649.9699999999993</v>
      </c>
      <c r="D93" s="2">
        <f>SUM(D83:D92)</f>
        <v>0</v>
      </c>
      <c r="E93" s="2">
        <f>SUM(E83:E92)</f>
        <v>0</v>
      </c>
      <c r="F93" s="2">
        <f t="shared" ref="F93:M93" si="19">SUM(F83:F92)</f>
        <v>0</v>
      </c>
      <c r="G93" s="2">
        <f t="shared" si="19"/>
        <v>0</v>
      </c>
      <c r="H93" s="2">
        <f t="shared" si="19"/>
        <v>0</v>
      </c>
      <c r="I93" s="2">
        <f t="shared" si="19"/>
        <v>0</v>
      </c>
      <c r="J93" s="2">
        <f t="shared" si="19"/>
        <v>0</v>
      </c>
      <c r="K93" s="2">
        <f t="shared" si="19"/>
        <v>0</v>
      </c>
      <c r="L93" s="2">
        <f t="shared" si="19"/>
        <v>0</v>
      </c>
      <c r="M93" s="2">
        <f t="shared" si="19"/>
        <v>0</v>
      </c>
      <c r="N93" s="2">
        <f>SUM(N83:N92)</f>
        <v>11840.42</v>
      </c>
      <c r="O93" s="341">
        <f>N93/P93</f>
        <v>0.13859953879830034</v>
      </c>
      <c r="P93" s="2">
        <f>SUM(P83:P92)</f>
        <v>85429</v>
      </c>
      <c r="Q93" s="2">
        <f>SUM(Q83:Q92)</f>
        <v>80061</v>
      </c>
    </row>
    <row r="94" spans="1:17" s="195" customFormat="1" ht="7.2" customHeight="1" x14ac:dyDescent="0.3">
      <c r="A94" s="51"/>
      <c r="B94" s="188"/>
      <c r="C94" s="46"/>
      <c r="D94" s="188"/>
      <c r="E94" s="188"/>
      <c r="F94" s="188"/>
      <c r="G94" s="188"/>
      <c r="H94" s="188"/>
      <c r="I94" s="188"/>
      <c r="J94" s="188"/>
      <c r="K94" s="188"/>
      <c r="L94" s="188"/>
      <c r="M94" s="188"/>
      <c r="N94" s="188"/>
      <c r="O94" s="331"/>
      <c r="P94" s="188"/>
      <c r="Q94" s="188"/>
    </row>
    <row r="95" spans="1:17" s="195" customFormat="1" x14ac:dyDescent="0.3">
      <c r="A95" s="128" t="s">
        <v>134</v>
      </c>
      <c r="B95" s="51"/>
      <c r="C95" s="51"/>
      <c r="D95" s="51"/>
      <c r="E95" s="51"/>
      <c r="F95" s="51"/>
      <c r="G95" s="51"/>
      <c r="H95" s="51"/>
      <c r="I95" s="51"/>
      <c r="J95" s="51"/>
      <c r="K95" s="51"/>
      <c r="L95" s="51"/>
      <c r="M95" s="51"/>
      <c r="N95" s="51"/>
      <c r="O95" s="331"/>
      <c r="P95" s="51"/>
      <c r="Q95" s="51"/>
    </row>
    <row r="96" spans="1:17" s="195" customFormat="1" x14ac:dyDescent="0.3">
      <c r="A96" s="78" t="s">
        <v>1</v>
      </c>
      <c r="B96" s="51">
        <v>3900.01</v>
      </c>
      <c r="C96" s="51">
        <v>1952.29</v>
      </c>
      <c r="D96" s="51"/>
      <c r="E96" s="51"/>
      <c r="F96" s="51"/>
      <c r="G96" s="51"/>
      <c r="H96" s="51"/>
      <c r="I96" s="51"/>
      <c r="J96" s="51"/>
      <c r="K96" s="51"/>
      <c r="L96" s="51"/>
      <c r="M96" s="51"/>
      <c r="N96" s="332">
        <f t="shared" ref="N96:N105" si="20">SUM(B96:M96)</f>
        <v>5852.3</v>
      </c>
      <c r="O96" s="341">
        <f t="shared" ref="O96:O105" si="21">N96/P96</f>
        <v>0.13096495546703665</v>
      </c>
      <c r="P96" s="51">
        <f>+'budget entry'!E123</f>
        <v>44686</v>
      </c>
      <c r="Q96" s="51">
        <v>30168</v>
      </c>
    </row>
    <row r="97" spans="1:18" s="195" customFormat="1" x14ac:dyDescent="0.3">
      <c r="A97" s="78" t="s">
        <v>497</v>
      </c>
      <c r="B97" s="51">
        <v>961.58</v>
      </c>
      <c r="C97" s="51">
        <v>654.67999999999995</v>
      </c>
      <c r="D97" s="51"/>
      <c r="E97" s="51"/>
      <c r="F97" s="51"/>
      <c r="G97" s="51"/>
      <c r="H97" s="51"/>
      <c r="I97" s="51"/>
      <c r="J97" s="51"/>
      <c r="K97" s="51"/>
      <c r="L97" s="51"/>
      <c r="M97" s="51"/>
      <c r="N97" s="332">
        <f t="shared" si="20"/>
        <v>1616.26</v>
      </c>
      <c r="O97" s="341">
        <f t="shared" si="21"/>
        <v>7.8596993146870894E-2</v>
      </c>
      <c r="P97" s="51">
        <f>+'budget entry'!E124+'budget entry'!E125+'budget entry'!E126</f>
        <v>20563.891</v>
      </c>
      <c r="Q97" s="51">
        <f>437+6154+377+7800</f>
        <v>14768</v>
      </c>
    </row>
    <row r="98" spans="1:18" s="195" customFormat="1" x14ac:dyDescent="0.3">
      <c r="A98" s="78" t="s">
        <v>213</v>
      </c>
      <c r="B98" s="51">
        <v>775.08</v>
      </c>
      <c r="C98" s="51"/>
      <c r="D98" s="51"/>
      <c r="E98" s="51"/>
      <c r="F98" s="51"/>
      <c r="G98" s="51"/>
      <c r="H98" s="51"/>
      <c r="I98" s="51"/>
      <c r="J98" s="51"/>
      <c r="K98" s="51"/>
      <c r="L98" s="51"/>
      <c r="M98" s="51"/>
      <c r="N98" s="332">
        <f t="shared" si="20"/>
        <v>775.08</v>
      </c>
      <c r="O98" s="341">
        <f t="shared" si="21"/>
        <v>1.2226007950028393E-2</v>
      </c>
      <c r="P98" s="51">
        <f>+'budget entry'!E127</f>
        <v>63396</v>
      </c>
      <c r="Q98" s="51">
        <v>63396</v>
      </c>
      <c r="R98" s="197" t="s">
        <v>738</v>
      </c>
    </row>
    <row r="99" spans="1:18" s="195" customFormat="1" x14ac:dyDescent="0.3">
      <c r="A99" s="79" t="s">
        <v>10</v>
      </c>
      <c r="B99" s="51"/>
      <c r="C99" s="51"/>
      <c r="D99" s="51"/>
      <c r="E99" s="51"/>
      <c r="F99" s="51"/>
      <c r="G99" s="51"/>
      <c r="H99" s="51"/>
      <c r="I99" s="51"/>
      <c r="J99" s="51"/>
      <c r="K99" s="51"/>
      <c r="L99" s="51"/>
      <c r="M99" s="51"/>
      <c r="N99" s="332">
        <f t="shared" si="20"/>
        <v>0</v>
      </c>
      <c r="O99" s="341">
        <f t="shared" si="21"/>
        <v>0</v>
      </c>
      <c r="P99" s="51">
        <f>+'budget entry'!E128</f>
        <v>3000</v>
      </c>
      <c r="Q99" s="51">
        <v>3000</v>
      </c>
    </row>
    <row r="100" spans="1:18" s="195" customFormat="1" x14ac:dyDescent="0.3">
      <c r="A100" s="78" t="s">
        <v>8</v>
      </c>
      <c r="B100" s="51">
        <v>291</v>
      </c>
      <c r="C100" s="51">
        <v>291</v>
      </c>
      <c r="D100" s="51"/>
      <c r="E100" s="51"/>
      <c r="F100" s="51"/>
      <c r="G100" s="51"/>
      <c r="H100" s="51"/>
      <c r="I100" s="51"/>
      <c r="J100" s="51"/>
      <c r="K100" s="51"/>
      <c r="L100" s="51"/>
      <c r="M100" s="51"/>
      <c r="N100" s="332">
        <f t="shared" si="20"/>
        <v>582</v>
      </c>
      <c r="O100" s="341">
        <f t="shared" si="21"/>
        <v>0.12933333333333333</v>
      </c>
      <c r="P100" s="51">
        <f>+'budget entry'!E129</f>
        <v>4500</v>
      </c>
      <c r="Q100" s="51">
        <v>4500</v>
      </c>
    </row>
    <row r="101" spans="1:18" s="195" customFormat="1" x14ac:dyDescent="0.3">
      <c r="A101" s="78" t="s">
        <v>46</v>
      </c>
      <c r="B101" s="51">
        <v>2595</v>
      </c>
      <c r="C101" s="51">
        <v>4042.33</v>
      </c>
      <c r="D101" s="51"/>
      <c r="E101" s="51"/>
      <c r="F101" s="51"/>
      <c r="G101" s="51"/>
      <c r="H101" s="51"/>
      <c r="I101" s="51"/>
      <c r="J101" s="51"/>
      <c r="K101" s="51"/>
      <c r="L101" s="51"/>
      <c r="M101" s="51"/>
      <c r="N101" s="332">
        <f t="shared" si="20"/>
        <v>6637.33</v>
      </c>
      <c r="O101" s="341">
        <f t="shared" si="21"/>
        <v>0.26549319999999998</v>
      </c>
      <c r="P101" s="51">
        <f>+'budget entry'!E130</f>
        <v>25000</v>
      </c>
      <c r="Q101" s="51">
        <v>25000</v>
      </c>
      <c r="R101" s="457"/>
    </row>
    <row r="102" spans="1:18" s="195" customFormat="1" x14ac:dyDescent="0.3">
      <c r="A102" s="78" t="s">
        <v>66</v>
      </c>
      <c r="B102" s="51">
        <v>1138.44</v>
      </c>
      <c r="C102" s="51">
        <v>1570.7</v>
      </c>
      <c r="D102" s="51"/>
      <c r="E102" s="51"/>
      <c r="F102" s="51"/>
      <c r="G102" s="51"/>
      <c r="H102" s="51"/>
      <c r="I102" s="51"/>
      <c r="J102" s="51"/>
      <c r="K102" s="51"/>
      <c r="L102" s="51"/>
      <c r="M102" s="51"/>
      <c r="N102" s="332">
        <f t="shared" si="20"/>
        <v>2709.1400000000003</v>
      </c>
      <c r="O102" s="341">
        <f t="shared" si="21"/>
        <v>0.13545700000000002</v>
      </c>
      <c r="P102" s="460">
        <f>+'budget entry'!E131</f>
        <v>20000</v>
      </c>
      <c r="Q102" s="51">
        <v>22000</v>
      </c>
    </row>
    <row r="103" spans="1:18" s="195" customFormat="1" x14ac:dyDescent="0.3">
      <c r="A103" s="78" t="s">
        <v>670</v>
      </c>
      <c r="B103" s="51"/>
      <c r="C103" s="51"/>
      <c r="D103" s="51"/>
      <c r="E103" s="51"/>
      <c r="F103" s="51"/>
      <c r="G103" s="51"/>
      <c r="H103" s="51"/>
      <c r="I103" s="51"/>
      <c r="J103" s="51"/>
      <c r="K103" s="51"/>
      <c r="L103" s="51"/>
      <c r="M103" s="51"/>
      <c r="N103" s="332"/>
      <c r="O103" s="341"/>
      <c r="P103" s="460">
        <f>+'budget entry'!E132</f>
        <v>9293</v>
      </c>
      <c r="Q103" s="51"/>
    </row>
    <row r="104" spans="1:18" s="195" customFormat="1" x14ac:dyDescent="0.3">
      <c r="A104" s="78" t="s">
        <v>65</v>
      </c>
      <c r="B104" s="51" t="s">
        <v>757</v>
      </c>
      <c r="C104" s="51"/>
      <c r="D104" s="51"/>
      <c r="E104" s="51"/>
      <c r="F104" s="51"/>
      <c r="G104" s="51"/>
      <c r="H104" s="51"/>
      <c r="I104" s="51"/>
      <c r="J104" s="51"/>
      <c r="K104" s="51"/>
      <c r="L104" s="51"/>
      <c r="M104" s="51"/>
      <c r="N104" s="332">
        <f t="shared" si="20"/>
        <v>0</v>
      </c>
      <c r="O104" s="341">
        <f t="shared" si="21"/>
        <v>0</v>
      </c>
      <c r="P104" s="51">
        <f>+'budget entry'!E133</f>
        <v>40000</v>
      </c>
      <c r="Q104" s="51">
        <v>50000</v>
      </c>
      <c r="R104" s="197" t="s">
        <v>736</v>
      </c>
    </row>
    <row r="105" spans="1:18" s="195" customFormat="1" x14ac:dyDescent="0.3">
      <c r="A105" s="78" t="s">
        <v>9</v>
      </c>
      <c r="B105" s="63">
        <v>3665</v>
      </c>
      <c r="C105" s="63">
        <v>2405.8200000000002</v>
      </c>
      <c r="D105" s="63"/>
      <c r="E105" s="63"/>
      <c r="F105" s="63"/>
      <c r="G105" s="63"/>
      <c r="H105" s="63"/>
      <c r="I105" s="63"/>
      <c r="J105" s="63"/>
      <c r="K105" s="63"/>
      <c r="L105" s="63"/>
      <c r="M105" s="63"/>
      <c r="N105" s="334">
        <f t="shared" si="20"/>
        <v>6070.82</v>
      </c>
      <c r="O105" s="341">
        <f t="shared" si="21"/>
        <v>9.198212121212121E-2</v>
      </c>
      <c r="P105" s="63">
        <f>+'budget entry'!E134</f>
        <v>66000</v>
      </c>
      <c r="Q105" s="63">
        <v>66000</v>
      </c>
    </row>
    <row r="106" spans="1:18" s="195" customFormat="1" x14ac:dyDescent="0.3">
      <c r="A106" s="2" t="s">
        <v>137</v>
      </c>
      <c r="B106" s="2">
        <f t="shared" ref="B106:N106" si="22">SUM(B96:B105)</f>
        <v>13326.11</v>
      </c>
      <c r="C106" s="2">
        <f t="shared" si="22"/>
        <v>10916.82</v>
      </c>
      <c r="D106" s="2">
        <f t="shared" si="22"/>
        <v>0</v>
      </c>
      <c r="E106" s="2">
        <f t="shared" si="22"/>
        <v>0</v>
      </c>
      <c r="F106" s="2">
        <f t="shared" si="22"/>
        <v>0</v>
      </c>
      <c r="G106" s="2">
        <f t="shared" si="22"/>
        <v>0</v>
      </c>
      <c r="H106" s="2">
        <f t="shared" si="22"/>
        <v>0</v>
      </c>
      <c r="I106" s="2">
        <f t="shared" si="22"/>
        <v>0</v>
      </c>
      <c r="J106" s="2">
        <f t="shared" si="22"/>
        <v>0</v>
      </c>
      <c r="K106" s="2">
        <f t="shared" si="22"/>
        <v>0</v>
      </c>
      <c r="L106" s="2">
        <f t="shared" si="22"/>
        <v>0</v>
      </c>
      <c r="M106" s="2">
        <f t="shared" si="22"/>
        <v>0</v>
      </c>
      <c r="N106" s="2">
        <f t="shared" si="22"/>
        <v>24242.93</v>
      </c>
      <c r="O106" s="341">
        <f>N106/P106</f>
        <v>8.1780531286632027E-2</v>
      </c>
      <c r="P106" s="2">
        <f>SUM(P96:P105)</f>
        <v>296438.891</v>
      </c>
      <c r="Q106" s="2">
        <f>SUM(Q96:Q105)</f>
        <v>278832</v>
      </c>
    </row>
    <row r="107" spans="1:18" s="195" customFormat="1" ht="10.95" customHeight="1" x14ac:dyDescent="0.3">
      <c r="A107" s="51"/>
      <c r="B107" s="51"/>
      <c r="C107" s="51"/>
      <c r="D107" s="51"/>
      <c r="E107" s="51"/>
      <c r="F107" s="51"/>
      <c r="G107" s="51"/>
      <c r="H107" s="51"/>
      <c r="I107" s="51"/>
      <c r="J107" s="51"/>
      <c r="K107" s="51"/>
      <c r="L107" s="51"/>
      <c r="M107" s="51"/>
      <c r="N107" s="51"/>
      <c r="O107" s="331"/>
      <c r="P107" s="51"/>
      <c r="Q107" s="51"/>
    </row>
    <row r="108" spans="1:18" s="195" customFormat="1" x14ac:dyDescent="0.3">
      <c r="A108" s="128" t="s">
        <v>236</v>
      </c>
      <c r="B108" s="51"/>
      <c r="C108" s="51"/>
      <c r="D108" s="51"/>
      <c r="E108" s="51"/>
      <c r="F108" s="51"/>
      <c r="G108" s="51"/>
      <c r="H108" s="51"/>
      <c r="I108" s="51"/>
      <c r="J108" s="51"/>
      <c r="K108" s="51"/>
      <c r="L108" s="51"/>
      <c r="M108" s="51"/>
      <c r="N108" s="51"/>
      <c r="O108" s="331"/>
      <c r="P108" s="51"/>
      <c r="Q108" s="51"/>
    </row>
    <row r="109" spans="1:18" s="195" customFormat="1" x14ac:dyDescent="0.3">
      <c r="A109" s="78" t="s">
        <v>1</v>
      </c>
      <c r="B109" s="51"/>
      <c r="C109" s="51">
        <v>1168</v>
      </c>
      <c r="D109" s="51"/>
      <c r="E109" s="51"/>
      <c r="F109" s="51"/>
      <c r="G109" s="51"/>
      <c r="H109" s="51"/>
      <c r="I109" s="51"/>
      <c r="J109" s="51"/>
      <c r="K109" s="51"/>
      <c r="L109" s="51"/>
      <c r="M109" s="51"/>
      <c r="N109" s="332">
        <f>SUM(B109:M109)</f>
        <v>1168</v>
      </c>
      <c r="O109" s="341">
        <f>N109/P109</f>
        <v>5.8400000000000001E-2</v>
      </c>
      <c r="P109" s="51">
        <f>+'budget entry'!E138</f>
        <v>20000</v>
      </c>
      <c r="Q109" s="51">
        <v>20000</v>
      </c>
    </row>
    <row r="110" spans="1:18" s="195" customFormat="1" x14ac:dyDescent="0.3">
      <c r="A110" s="78" t="s">
        <v>497</v>
      </c>
      <c r="B110" s="51"/>
      <c r="C110" s="51">
        <v>255.22</v>
      </c>
      <c r="D110" s="51"/>
      <c r="E110" s="51"/>
      <c r="F110" s="51"/>
      <c r="G110" s="51"/>
      <c r="H110" s="51"/>
      <c r="I110" s="51"/>
      <c r="J110" s="51"/>
      <c r="K110" s="51"/>
      <c r="L110" s="51"/>
      <c r="M110" s="51"/>
      <c r="N110" s="332">
        <f>SUM(B110:M110)</f>
        <v>255.22</v>
      </c>
      <c r="O110" s="341">
        <f>N110/P110</f>
        <v>5.840274599542334E-2</v>
      </c>
      <c r="P110" s="51">
        <f>+'budget entry'!E139+'budget entry'!E140</f>
        <v>4370</v>
      </c>
      <c r="Q110" s="51">
        <f>290+4080+400</f>
        <v>4770</v>
      </c>
    </row>
    <row r="111" spans="1:18" s="195" customFormat="1" x14ac:dyDescent="0.3">
      <c r="A111" s="78" t="s">
        <v>479</v>
      </c>
      <c r="B111" s="51"/>
      <c r="C111" s="51">
        <v>207</v>
      </c>
      <c r="D111" s="51"/>
      <c r="E111" s="51"/>
      <c r="F111" s="51"/>
      <c r="G111" s="51"/>
      <c r="H111" s="51"/>
      <c r="I111" s="51"/>
      <c r="J111" s="51"/>
      <c r="K111" s="51"/>
      <c r="L111" s="51"/>
      <c r="M111" s="51"/>
      <c r="N111" s="332">
        <f>SUM(B111:M111)</f>
        <v>207</v>
      </c>
      <c r="O111" s="341">
        <f>N111/P111</f>
        <v>4.1399999999999999E-2</v>
      </c>
      <c r="P111" s="460">
        <f>+'budget entry'!E141</f>
        <v>5000</v>
      </c>
      <c r="Q111" s="51">
        <v>5000</v>
      </c>
    </row>
    <row r="112" spans="1:18" s="195" customFormat="1" x14ac:dyDescent="0.3">
      <c r="A112" s="78" t="s">
        <v>241</v>
      </c>
      <c r="B112" s="63">
        <v>1217.5999999999999</v>
      </c>
      <c r="C112" s="63">
        <v>130</v>
      </c>
      <c r="D112" s="63"/>
      <c r="E112" s="63"/>
      <c r="F112" s="63"/>
      <c r="G112" s="63"/>
      <c r="H112" s="63"/>
      <c r="I112" s="63"/>
      <c r="J112" s="63"/>
      <c r="K112" s="63"/>
      <c r="L112" s="63"/>
      <c r="M112" s="63"/>
      <c r="N112" s="334">
        <f>SUM(B112:M112)</f>
        <v>1347.6</v>
      </c>
      <c r="O112" s="341">
        <f>N112/P112</f>
        <v>6.7379999999999995E-2</v>
      </c>
      <c r="P112" s="63">
        <f>+'budget entry'!E142</f>
        <v>20000</v>
      </c>
      <c r="Q112" s="63">
        <v>20000</v>
      </c>
    </row>
    <row r="113" spans="1:17" s="195" customFormat="1" x14ac:dyDescent="0.3">
      <c r="A113" s="60" t="s">
        <v>247</v>
      </c>
      <c r="B113" s="46">
        <f>SUM(B109:B112)</f>
        <v>1217.5999999999999</v>
      </c>
      <c r="C113" s="46">
        <f>SUM(C109:C112)</f>
        <v>1760.22</v>
      </c>
      <c r="D113" s="46">
        <f>SUM(D109:D112)</f>
        <v>0</v>
      </c>
      <c r="E113" s="46">
        <f>SUM(E109:E112)</f>
        <v>0</v>
      </c>
      <c r="F113" s="46">
        <f t="shared" ref="F113:M113" si="23">SUM(F109:F112)</f>
        <v>0</v>
      </c>
      <c r="G113" s="46">
        <f t="shared" si="23"/>
        <v>0</v>
      </c>
      <c r="H113" s="46">
        <f t="shared" si="23"/>
        <v>0</v>
      </c>
      <c r="I113" s="46">
        <f t="shared" si="23"/>
        <v>0</v>
      </c>
      <c r="J113" s="46">
        <f t="shared" si="23"/>
        <v>0</v>
      </c>
      <c r="K113" s="46">
        <f t="shared" si="23"/>
        <v>0</v>
      </c>
      <c r="L113" s="46">
        <f t="shared" si="23"/>
        <v>0</v>
      </c>
      <c r="M113" s="46">
        <f t="shared" si="23"/>
        <v>0</v>
      </c>
      <c r="N113" s="46">
        <f>SUM(N109:N112)</f>
        <v>2977.8199999999997</v>
      </c>
      <c r="O113" s="341">
        <f>N113/P113</f>
        <v>6.0316386469515891E-2</v>
      </c>
      <c r="P113" s="46">
        <f>SUM(P109:P112)</f>
        <v>49370</v>
      </c>
      <c r="Q113" s="87">
        <f>SUM(Q109:Q112)</f>
        <v>49770</v>
      </c>
    </row>
    <row r="114" spans="1:17" s="195" customFormat="1" ht="8.4" customHeight="1" x14ac:dyDescent="0.3">
      <c r="A114" s="51"/>
      <c r="B114" s="58"/>
      <c r="C114" s="58"/>
      <c r="D114" s="58"/>
      <c r="E114" s="58"/>
      <c r="F114" s="58"/>
      <c r="G114" s="58"/>
      <c r="H114" s="58"/>
      <c r="I114" s="58"/>
      <c r="J114" s="58"/>
      <c r="K114" s="58"/>
      <c r="L114" s="58"/>
      <c r="M114" s="58"/>
      <c r="N114" s="58"/>
      <c r="O114" s="331"/>
      <c r="P114" s="58"/>
      <c r="Q114" s="58"/>
    </row>
    <row r="115" spans="1:17" s="195" customFormat="1" x14ac:dyDescent="0.3">
      <c r="A115" s="128" t="s">
        <v>138</v>
      </c>
      <c r="B115" s="58"/>
      <c r="C115" s="58"/>
      <c r="D115" s="58"/>
      <c r="E115" s="58"/>
      <c r="F115" s="58"/>
      <c r="G115" s="58"/>
      <c r="H115" s="58"/>
      <c r="I115" s="58"/>
      <c r="J115" s="58"/>
      <c r="K115" s="58"/>
      <c r="L115" s="58"/>
      <c r="M115" s="58"/>
      <c r="N115" s="58"/>
      <c r="O115" s="331"/>
      <c r="P115" s="58"/>
      <c r="Q115" s="58"/>
    </row>
    <row r="116" spans="1:17" s="195" customFormat="1" x14ac:dyDescent="0.3">
      <c r="A116" s="78" t="s">
        <v>480</v>
      </c>
      <c r="B116" s="58">
        <v>7544.18</v>
      </c>
      <c r="C116" s="58">
        <v>2488.2399999999998</v>
      </c>
      <c r="D116" s="58"/>
      <c r="E116" s="58"/>
      <c r="F116" s="58"/>
      <c r="G116" s="58"/>
      <c r="H116" s="58"/>
      <c r="I116" s="58"/>
      <c r="J116" s="58"/>
      <c r="K116" s="58"/>
      <c r="L116" s="58"/>
      <c r="M116" s="58"/>
      <c r="N116" s="332">
        <f t="shared" ref="N116:N122" si="24">SUM(B116:M116)</f>
        <v>10032.42</v>
      </c>
      <c r="O116" s="341">
        <f t="shared" ref="O116:O122" si="25">N116/P116</f>
        <v>0.50162099999999998</v>
      </c>
      <c r="P116" s="58">
        <f>+'budget entry'!E146</f>
        <v>20000</v>
      </c>
      <c r="Q116" s="58">
        <v>20000</v>
      </c>
    </row>
    <row r="117" spans="1:17" s="195" customFormat="1" x14ac:dyDescent="0.3">
      <c r="A117" s="78" t="s">
        <v>228</v>
      </c>
      <c r="B117" s="58">
        <v>3625</v>
      </c>
      <c r="C117" s="58">
        <v>3625</v>
      </c>
      <c r="D117" s="58"/>
      <c r="E117" s="58"/>
      <c r="F117" s="58"/>
      <c r="G117" s="58"/>
      <c r="H117" s="58"/>
      <c r="I117" s="58"/>
      <c r="J117" s="58"/>
      <c r="K117" s="58"/>
      <c r="L117" s="58"/>
      <c r="M117" s="58"/>
      <c r="N117" s="332">
        <f t="shared" si="24"/>
        <v>7250</v>
      </c>
      <c r="O117" s="341">
        <f t="shared" si="25"/>
        <v>0.15760869565217392</v>
      </c>
      <c r="P117" s="58">
        <f>+'budget entry'!E147</f>
        <v>46000</v>
      </c>
      <c r="Q117" s="58">
        <v>45000</v>
      </c>
    </row>
    <row r="118" spans="1:17" s="195" customFormat="1" x14ac:dyDescent="0.3">
      <c r="A118" s="78" t="s">
        <v>47</v>
      </c>
      <c r="B118" s="58"/>
      <c r="C118" s="58">
        <v>646.6</v>
      </c>
      <c r="D118" s="58"/>
      <c r="E118" s="58"/>
      <c r="F118" s="58"/>
      <c r="G118" s="58"/>
      <c r="H118" s="58"/>
      <c r="I118" s="58"/>
      <c r="J118" s="58"/>
      <c r="K118" s="58"/>
      <c r="L118" s="58"/>
      <c r="M118" s="58"/>
      <c r="N118" s="332">
        <f t="shared" si="24"/>
        <v>646.6</v>
      </c>
      <c r="O118" s="341">
        <f t="shared" si="25"/>
        <v>2.4869230769230768E-2</v>
      </c>
      <c r="P118" s="58">
        <f>+'budget entry'!E148</f>
        <v>26000</v>
      </c>
      <c r="Q118" s="58">
        <v>26000</v>
      </c>
    </row>
    <row r="119" spans="1:17" s="195" customFormat="1" x14ac:dyDescent="0.3">
      <c r="A119" s="78" t="s">
        <v>11</v>
      </c>
      <c r="B119" s="58">
        <v>2353.9699999999998</v>
      </c>
      <c r="C119" s="58">
        <v>2777.16</v>
      </c>
      <c r="D119" s="58"/>
      <c r="E119" s="58"/>
      <c r="F119" s="58"/>
      <c r="G119" s="58"/>
      <c r="H119" s="58"/>
      <c r="I119" s="58"/>
      <c r="J119" s="58"/>
      <c r="K119" s="58"/>
      <c r="L119" s="58"/>
      <c r="M119" s="58"/>
      <c r="N119" s="332">
        <f t="shared" si="24"/>
        <v>5131.1299999999992</v>
      </c>
      <c r="O119" s="341">
        <f t="shared" si="25"/>
        <v>0.20524519999999996</v>
      </c>
      <c r="P119" s="58">
        <f>+'budget entry'!E149</f>
        <v>25000</v>
      </c>
      <c r="Q119" s="58">
        <v>25000</v>
      </c>
    </row>
    <row r="120" spans="1:17" s="195" customFormat="1" x14ac:dyDescent="0.3">
      <c r="A120" s="78" t="s">
        <v>12</v>
      </c>
      <c r="B120" s="58">
        <v>118.8</v>
      </c>
      <c r="C120" s="58">
        <v>521.25</v>
      </c>
      <c r="D120" s="58"/>
      <c r="E120" s="58"/>
      <c r="F120" s="58"/>
      <c r="G120" s="58"/>
      <c r="H120" s="58"/>
      <c r="I120" s="58"/>
      <c r="J120" s="58"/>
      <c r="K120" s="58"/>
      <c r="L120" s="58"/>
      <c r="M120" s="58"/>
      <c r="N120" s="332">
        <f t="shared" si="24"/>
        <v>640.04999999999995</v>
      </c>
      <c r="O120" s="341">
        <f t="shared" si="25"/>
        <v>0.21334999999999998</v>
      </c>
      <c r="P120" s="58">
        <f>+'budget entry'!E150</f>
        <v>3000</v>
      </c>
      <c r="Q120" s="58">
        <v>3000</v>
      </c>
    </row>
    <row r="121" spans="1:17" s="195" customFormat="1" x14ac:dyDescent="0.3">
      <c r="A121" s="78" t="s">
        <v>13</v>
      </c>
      <c r="B121" s="58"/>
      <c r="C121" s="58"/>
      <c r="D121" s="58"/>
      <c r="E121" s="58"/>
      <c r="F121" s="58"/>
      <c r="G121" s="58"/>
      <c r="H121" s="58"/>
      <c r="I121" s="58"/>
      <c r="J121" s="58"/>
      <c r="K121" s="58"/>
      <c r="L121" s="58"/>
      <c r="M121" s="58"/>
      <c r="N121" s="332">
        <f t="shared" si="24"/>
        <v>0</v>
      </c>
      <c r="O121" s="341">
        <f t="shared" si="25"/>
        <v>0</v>
      </c>
      <c r="P121" s="460">
        <f>+'budget entry'!E151</f>
        <v>6500</v>
      </c>
      <c r="Q121" s="58">
        <v>6500</v>
      </c>
    </row>
    <row r="122" spans="1:17" s="195" customFormat="1" x14ac:dyDescent="0.3">
      <c r="A122" s="78" t="s">
        <v>64</v>
      </c>
      <c r="B122" s="63"/>
      <c r="C122" s="63">
        <v>625.20000000000005</v>
      </c>
      <c r="D122" s="63"/>
      <c r="E122" s="63"/>
      <c r="F122" s="63"/>
      <c r="G122" s="63"/>
      <c r="H122" s="63"/>
      <c r="I122" s="63"/>
      <c r="J122" s="63"/>
      <c r="K122" s="63"/>
      <c r="L122" s="63"/>
      <c r="M122" s="63"/>
      <c r="N122" s="334">
        <f t="shared" si="24"/>
        <v>625.20000000000005</v>
      </c>
      <c r="O122" s="341">
        <f t="shared" si="25"/>
        <v>2.4279611650485439E-2</v>
      </c>
      <c r="P122" s="63">
        <f>+'budget entry'!E152</f>
        <v>25750</v>
      </c>
      <c r="Q122" s="63">
        <v>25750</v>
      </c>
    </row>
    <row r="123" spans="1:17" s="195" customFormat="1" x14ac:dyDescent="0.3">
      <c r="A123" s="2" t="s">
        <v>138</v>
      </c>
      <c r="B123" s="105">
        <f t="shared" ref="B123:N123" si="26">SUM(B116:B122)</f>
        <v>13641.949999999999</v>
      </c>
      <c r="C123" s="105">
        <f>SUM(C116:C122)</f>
        <v>10683.45</v>
      </c>
      <c r="D123" s="105">
        <f>SUM(D116:D122)</f>
        <v>0</v>
      </c>
      <c r="E123" s="105">
        <f t="shared" si="26"/>
        <v>0</v>
      </c>
      <c r="F123" s="105">
        <f t="shared" si="26"/>
        <v>0</v>
      </c>
      <c r="G123" s="105">
        <f t="shared" si="26"/>
        <v>0</v>
      </c>
      <c r="H123" s="105">
        <f t="shared" si="26"/>
        <v>0</v>
      </c>
      <c r="I123" s="105">
        <f t="shared" si="26"/>
        <v>0</v>
      </c>
      <c r="J123" s="105">
        <f t="shared" si="26"/>
        <v>0</v>
      </c>
      <c r="K123" s="105">
        <f t="shared" si="26"/>
        <v>0</v>
      </c>
      <c r="L123" s="105">
        <f t="shared" si="26"/>
        <v>0</v>
      </c>
      <c r="M123" s="105">
        <f t="shared" si="26"/>
        <v>0</v>
      </c>
      <c r="N123" s="105">
        <f t="shared" si="26"/>
        <v>24325.399999999994</v>
      </c>
      <c r="O123" s="341">
        <f>N123/P123</f>
        <v>0.15977274220032836</v>
      </c>
      <c r="P123" s="105">
        <f>SUM(P116:P122)</f>
        <v>152250</v>
      </c>
      <c r="Q123" s="105">
        <f>SUM(Q116:Q122)</f>
        <v>151250</v>
      </c>
    </row>
    <row r="124" spans="1:17" s="195" customFormat="1" x14ac:dyDescent="0.3">
      <c r="A124" s="51"/>
      <c r="B124" s="375"/>
      <c r="C124" s="87"/>
      <c r="D124" s="375"/>
      <c r="E124" s="375"/>
      <c r="F124" s="375"/>
      <c r="G124" s="375"/>
      <c r="H124" s="375"/>
      <c r="I124" s="375"/>
      <c r="J124" s="375"/>
      <c r="K124" s="375"/>
      <c r="L124" s="375"/>
      <c r="M124" s="375"/>
      <c r="N124" s="375"/>
      <c r="O124" s="331"/>
      <c r="P124" s="375"/>
      <c r="Q124" s="375"/>
    </row>
    <row r="125" spans="1:17" s="195" customFormat="1" x14ac:dyDescent="0.3">
      <c r="A125" s="128" t="s">
        <v>706</v>
      </c>
      <c r="B125" s="51"/>
      <c r="C125" s="51"/>
      <c r="D125" s="51"/>
      <c r="E125" s="51"/>
      <c r="F125" s="51"/>
      <c r="G125" s="51"/>
      <c r="H125" s="51"/>
      <c r="I125" s="51"/>
      <c r="J125" s="51"/>
      <c r="K125" s="51"/>
      <c r="L125" s="51"/>
      <c r="M125" s="51"/>
      <c r="N125" s="51"/>
      <c r="O125" s="339"/>
      <c r="P125" s="51"/>
      <c r="Q125" s="51"/>
    </row>
    <row r="126" spans="1:17" s="195" customFormat="1" x14ac:dyDescent="0.3">
      <c r="A126" s="78" t="s">
        <v>1</v>
      </c>
      <c r="B126" s="51"/>
      <c r="C126" s="51">
        <v>860.42</v>
      </c>
      <c r="D126" s="51"/>
      <c r="E126" s="51"/>
      <c r="F126" s="51"/>
      <c r="G126" s="51"/>
      <c r="H126" s="51"/>
      <c r="I126" s="51"/>
      <c r="J126" s="51"/>
      <c r="K126" s="51"/>
      <c r="L126" s="51"/>
      <c r="M126" s="51"/>
      <c r="N126" s="332">
        <f>SUM(B126:M126)</f>
        <v>860.42</v>
      </c>
      <c r="O126" s="339">
        <f>N126/P126</f>
        <v>2.7589059544040784E-2</v>
      </c>
      <c r="P126" s="51">
        <f>+'budget entry'!E156</f>
        <v>31187</v>
      </c>
      <c r="Q126" s="51"/>
    </row>
    <row r="127" spans="1:17" s="195" customFormat="1" x14ac:dyDescent="0.3">
      <c r="A127" s="78" t="s">
        <v>497</v>
      </c>
      <c r="B127" s="51"/>
      <c r="C127" s="51">
        <v>246.38</v>
      </c>
      <c r="D127" s="51"/>
      <c r="E127" s="51"/>
      <c r="F127" s="51"/>
      <c r="G127" s="51"/>
      <c r="H127" s="51"/>
      <c r="I127" s="51"/>
      <c r="J127" s="51"/>
      <c r="K127" s="51"/>
      <c r="L127" s="51"/>
      <c r="M127" s="51"/>
      <c r="N127" s="332">
        <f>SUM(B127:M127)</f>
        <v>246.38</v>
      </c>
      <c r="O127" s="339">
        <f>N127/P127</f>
        <v>1.2684308072487644E-2</v>
      </c>
      <c r="P127" s="51">
        <f>+'budget entry'!E157+'budget entry'!E158+'budget entry'!E159</f>
        <v>19424</v>
      </c>
      <c r="Q127" s="51"/>
    </row>
    <row r="128" spans="1:17" s="195" customFormat="1" x14ac:dyDescent="0.3">
      <c r="A128" s="78" t="s">
        <v>503</v>
      </c>
      <c r="B128" s="63"/>
      <c r="C128" s="63">
        <v>23.62</v>
      </c>
      <c r="D128" s="63"/>
      <c r="E128" s="63"/>
      <c r="F128" s="63"/>
      <c r="G128" s="63"/>
      <c r="H128" s="63"/>
      <c r="I128" s="63"/>
      <c r="J128" s="63"/>
      <c r="K128" s="63"/>
      <c r="L128" s="63"/>
      <c r="M128" s="63"/>
      <c r="N128" s="334">
        <f>SUM(B128:M128)</f>
        <v>23.62</v>
      </c>
      <c r="O128" s="339">
        <f>N128/P128</f>
        <v>1.6871428571428572E-2</v>
      </c>
      <c r="P128" s="461">
        <f>+'budget entry'!E160</f>
        <v>1400</v>
      </c>
      <c r="Q128" s="63"/>
    </row>
    <row r="129" spans="1:18" s="195" customFormat="1" x14ac:dyDescent="0.3">
      <c r="A129" s="60" t="s">
        <v>729</v>
      </c>
      <c r="B129" s="87">
        <f t="shared" ref="B129:N129" si="27">SUM(B126:B128)</f>
        <v>0</v>
      </c>
      <c r="C129" s="87">
        <f t="shared" si="27"/>
        <v>1130.4199999999998</v>
      </c>
      <c r="D129" s="87">
        <f t="shared" si="27"/>
        <v>0</v>
      </c>
      <c r="E129" s="87">
        <f t="shared" si="27"/>
        <v>0</v>
      </c>
      <c r="F129" s="87">
        <f t="shared" si="27"/>
        <v>0</v>
      </c>
      <c r="G129" s="87">
        <f t="shared" si="27"/>
        <v>0</v>
      </c>
      <c r="H129" s="87">
        <f t="shared" si="27"/>
        <v>0</v>
      </c>
      <c r="I129" s="87">
        <f t="shared" si="27"/>
        <v>0</v>
      </c>
      <c r="J129" s="87">
        <f t="shared" si="27"/>
        <v>0</v>
      </c>
      <c r="K129" s="87">
        <f t="shared" si="27"/>
        <v>0</v>
      </c>
      <c r="L129" s="87">
        <f t="shared" si="27"/>
        <v>0</v>
      </c>
      <c r="M129" s="87">
        <f t="shared" si="27"/>
        <v>0</v>
      </c>
      <c r="N129" s="87">
        <f t="shared" si="27"/>
        <v>1130.4199999999998</v>
      </c>
      <c r="O129" s="339">
        <f>N129/P129</f>
        <v>2.1734248524350616E-2</v>
      </c>
      <c r="P129" s="87">
        <f>SUM(P126:P128)</f>
        <v>52011</v>
      </c>
      <c r="Q129" s="87">
        <f>SUM(Q126:Q128)</f>
        <v>0</v>
      </c>
    </row>
    <row r="130" spans="1:18" s="195" customFormat="1" x14ac:dyDescent="0.3">
      <c r="A130" s="51"/>
      <c r="B130" s="375"/>
      <c r="C130" s="87"/>
      <c r="D130" s="375"/>
      <c r="E130" s="375"/>
      <c r="F130" s="375"/>
      <c r="G130" s="375"/>
      <c r="H130" s="375"/>
      <c r="I130" s="375"/>
      <c r="J130" s="375"/>
      <c r="K130" s="375"/>
      <c r="L130" s="375"/>
      <c r="M130" s="375"/>
      <c r="N130" s="375"/>
      <c r="O130" s="331"/>
      <c r="P130" s="375"/>
      <c r="Q130" s="375"/>
    </row>
    <row r="131" spans="1:18" s="195" customFormat="1" x14ac:dyDescent="0.3">
      <c r="A131" s="60" t="s">
        <v>481</v>
      </c>
      <c r="B131" s="87">
        <v>19753.439999999999</v>
      </c>
      <c r="C131" s="87">
        <v>19753.439999999999</v>
      </c>
      <c r="D131" s="87"/>
      <c r="E131" s="87"/>
      <c r="F131" s="87"/>
      <c r="G131" s="87"/>
      <c r="H131" s="87"/>
      <c r="I131" s="87"/>
      <c r="J131" s="87"/>
      <c r="K131" s="87"/>
      <c r="L131" s="87"/>
      <c r="M131" s="87"/>
      <c r="N131" s="475">
        <f>SUM(B131:M131)</f>
        <v>39506.879999999997</v>
      </c>
      <c r="O131" s="341">
        <f>N131/P131</f>
        <v>0.20157497027924751</v>
      </c>
      <c r="P131" s="84">
        <f>+'budget entry'!E165</f>
        <v>195991</v>
      </c>
      <c r="Q131" s="84">
        <v>240000</v>
      </c>
    </row>
    <row r="132" spans="1:18" x14ac:dyDescent="0.3">
      <c r="B132" s="376"/>
      <c r="C132" s="388"/>
      <c r="D132" s="376"/>
      <c r="E132" s="376"/>
      <c r="F132" s="376"/>
      <c r="G132" s="376"/>
      <c r="H132" s="376"/>
      <c r="I132" s="376"/>
      <c r="J132" s="376"/>
      <c r="K132" s="376"/>
      <c r="L132" s="376"/>
      <c r="M132" s="376"/>
      <c r="N132" s="376"/>
      <c r="O132" s="331"/>
      <c r="P132" s="376"/>
      <c r="Q132" s="376"/>
    </row>
    <row r="133" spans="1:18" x14ac:dyDescent="0.3">
      <c r="A133" s="241" t="s">
        <v>592</v>
      </c>
      <c r="B133" s="245">
        <f>+B131+B123+B113+B106+B93+B80+B72+B59+B51+B41</f>
        <v>200921.78</v>
      </c>
      <c r="C133" s="245">
        <f>+C131+C123+C113+C106+C93+C80+C72+C59+C51+C41+C129</f>
        <v>197218.54</v>
      </c>
      <c r="D133" s="531">
        <f t="shared" ref="D133:M133" si="28">+D131+D123+D113+D106+D93+D80+D72+D59+D51+D41+D129</f>
        <v>0</v>
      </c>
      <c r="E133" s="531">
        <f t="shared" si="28"/>
        <v>0</v>
      </c>
      <c r="F133" s="531">
        <f t="shared" si="28"/>
        <v>0</v>
      </c>
      <c r="G133" s="531">
        <f t="shared" si="28"/>
        <v>0</v>
      </c>
      <c r="H133" s="531">
        <f t="shared" si="28"/>
        <v>0</v>
      </c>
      <c r="I133" s="531">
        <f t="shared" si="28"/>
        <v>0</v>
      </c>
      <c r="J133" s="531">
        <f t="shared" si="28"/>
        <v>0</v>
      </c>
      <c r="K133" s="531">
        <f t="shared" si="28"/>
        <v>0</v>
      </c>
      <c r="L133" s="531">
        <f t="shared" si="28"/>
        <v>0</v>
      </c>
      <c r="M133" s="531">
        <f t="shared" si="28"/>
        <v>0</v>
      </c>
      <c r="N133" s="531">
        <f>+N131+N123+N113+N106+N93+N80+N72+N59+N51+N41+N129</f>
        <v>398140.32</v>
      </c>
      <c r="O133" s="341">
        <f>N133/P133</f>
        <v>0.13146120507287118</v>
      </c>
      <c r="P133" s="245">
        <f>+P131+P123+P113+P106+P93+P80+P72+P59+P51+P41+P129</f>
        <v>3028576.5278000003</v>
      </c>
      <c r="Q133" s="245">
        <f>+Q131+Q123+Q113+Q106+Q93+Q80+Q72+Q59+Q51+Q41</f>
        <v>2906852</v>
      </c>
      <c r="R133" s="353"/>
    </row>
    <row r="134" spans="1:18" x14ac:dyDescent="0.3">
      <c r="A134" s="57" t="s">
        <v>721</v>
      </c>
      <c r="B134" s="265"/>
      <c r="C134" s="421"/>
      <c r="D134" s="265"/>
      <c r="E134" s="265"/>
      <c r="F134" s="265"/>
      <c r="G134" s="265"/>
      <c r="H134" s="265"/>
      <c r="I134" s="265"/>
      <c r="J134" s="265"/>
      <c r="K134" s="265"/>
      <c r="L134" s="265"/>
      <c r="M134" s="265"/>
      <c r="N134" s="265"/>
      <c r="O134" s="331"/>
      <c r="P134" s="265"/>
      <c r="Q134" s="265"/>
    </row>
    <row r="135" spans="1:18" x14ac:dyDescent="0.3">
      <c r="A135" s="57" t="s">
        <v>723</v>
      </c>
      <c r="B135" s="265"/>
      <c r="C135" s="421">
        <v>25000</v>
      </c>
      <c r="D135" s="265"/>
      <c r="E135" s="265"/>
      <c r="F135" s="265"/>
      <c r="G135" s="265"/>
      <c r="H135" s="265"/>
      <c r="I135" s="265"/>
      <c r="J135" s="265"/>
      <c r="K135" s="265"/>
      <c r="L135" s="265"/>
      <c r="M135" s="265"/>
      <c r="N135" s="475">
        <f>SUM(B135:M135)</f>
        <v>25000</v>
      </c>
      <c r="O135" s="331"/>
      <c r="P135" s="262">
        <f>+'budget entry'!E171</f>
        <v>25000</v>
      </c>
      <c r="Q135" s="265"/>
    </row>
    <row r="136" spans="1:18" x14ac:dyDescent="0.3">
      <c r="A136" s="57" t="s">
        <v>724</v>
      </c>
      <c r="B136" s="265"/>
      <c r="C136" s="421"/>
      <c r="D136" s="265"/>
      <c r="E136" s="265"/>
      <c r="F136" s="265"/>
      <c r="G136" s="265"/>
      <c r="H136" s="265"/>
      <c r="I136" s="265"/>
      <c r="J136" s="265"/>
      <c r="K136" s="265"/>
      <c r="L136" s="265"/>
      <c r="M136" s="265"/>
      <c r="N136" s="475">
        <f>SUM(B136:M136)</f>
        <v>0</v>
      </c>
      <c r="O136" s="331"/>
      <c r="P136" s="262">
        <f>+'budget entry'!E172</f>
        <v>18000</v>
      </c>
      <c r="Q136" s="265"/>
    </row>
    <row r="137" spans="1:18" x14ac:dyDescent="0.3">
      <c r="A137" s="57" t="s">
        <v>722</v>
      </c>
      <c r="B137" s="372"/>
      <c r="C137" s="372"/>
      <c r="D137" s="431"/>
      <c r="E137" s="431"/>
      <c r="F137" s="431"/>
      <c r="G137" s="431"/>
      <c r="H137" s="431"/>
      <c r="I137" s="431"/>
      <c r="J137" s="372"/>
      <c r="K137" s="431"/>
      <c r="L137" s="431"/>
      <c r="M137" s="431"/>
      <c r="N137" s="475">
        <f>SUM(B137:M137)</f>
        <v>0</v>
      </c>
      <c r="O137" s="432"/>
      <c r="P137" s="372">
        <f>+'budget entry'!E173</f>
        <v>0</v>
      </c>
      <c r="Q137" s="372">
        <v>30000</v>
      </c>
      <c r="R137" s="353"/>
    </row>
    <row r="138" spans="1:18" x14ac:dyDescent="0.3">
      <c r="A138" s="57" t="s">
        <v>603</v>
      </c>
      <c r="B138" s="416">
        <f t="shared" ref="B138:N138" si="29">SUM(B133:B137)</f>
        <v>200921.78</v>
      </c>
      <c r="C138" s="416">
        <f t="shared" si="29"/>
        <v>222218.54</v>
      </c>
      <c r="D138" s="416">
        <f t="shared" si="29"/>
        <v>0</v>
      </c>
      <c r="E138" s="416">
        <f t="shared" si="29"/>
        <v>0</v>
      </c>
      <c r="F138" s="416">
        <f t="shared" si="29"/>
        <v>0</v>
      </c>
      <c r="G138" s="416">
        <f t="shared" si="29"/>
        <v>0</v>
      </c>
      <c r="H138" s="416">
        <f t="shared" si="29"/>
        <v>0</v>
      </c>
      <c r="I138" s="416">
        <f t="shared" si="29"/>
        <v>0</v>
      </c>
      <c r="J138" s="416">
        <f t="shared" si="29"/>
        <v>0</v>
      </c>
      <c r="K138" s="416">
        <f t="shared" si="29"/>
        <v>0</v>
      </c>
      <c r="L138" s="416">
        <f t="shared" si="29"/>
        <v>0</v>
      </c>
      <c r="M138" s="416">
        <f t="shared" si="29"/>
        <v>0</v>
      </c>
      <c r="N138" s="416">
        <f t="shared" si="29"/>
        <v>423140.32</v>
      </c>
      <c r="O138" s="331"/>
      <c r="P138" s="416">
        <f>SUM(P133:P137)</f>
        <v>3071576.5278000003</v>
      </c>
      <c r="Q138" s="416">
        <f>SUM(Q133:Q137)</f>
        <v>2936852</v>
      </c>
    </row>
    <row r="139" spans="1:18" x14ac:dyDescent="0.3">
      <c r="B139" s="265"/>
      <c r="C139" s="421"/>
      <c r="D139" s="265"/>
      <c r="E139" s="265"/>
      <c r="F139" s="265"/>
      <c r="G139" s="265"/>
      <c r="H139" s="265"/>
      <c r="I139" s="265"/>
      <c r="J139" s="265"/>
      <c r="K139" s="265"/>
      <c r="L139" s="265"/>
      <c r="M139" s="265"/>
      <c r="N139" s="265"/>
      <c r="O139" s="331"/>
      <c r="P139" s="265"/>
      <c r="Q139" s="265"/>
    </row>
    <row r="140" spans="1:18" ht="15" thickBot="1" x14ac:dyDescent="0.35">
      <c r="A140" s="241" t="s">
        <v>482</v>
      </c>
      <c r="B140" s="303">
        <f t="shared" ref="B140:N140" si="30">B24-B138</f>
        <v>48937.550000000017</v>
      </c>
      <c r="C140" s="303">
        <f t="shared" si="30"/>
        <v>69541.94000000009</v>
      </c>
      <c r="D140" s="303">
        <f t="shared" si="30"/>
        <v>0</v>
      </c>
      <c r="E140" s="303">
        <f t="shared" si="30"/>
        <v>0</v>
      </c>
      <c r="F140" s="303">
        <f t="shared" si="30"/>
        <v>0</v>
      </c>
      <c r="G140" s="303">
        <f t="shared" si="30"/>
        <v>0</v>
      </c>
      <c r="H140" s="303">
        <f t="shared" si="30"/>
        <v>0</v>
      </c>
      <c r="I140" s="303">
        <f t="shared" si="30"/>
        <v>0</v>
      </c>
      <c r="J140" s="303">
        <f t="shared" si="30"/>
        <v>0</v>
      </c>
      <c r="K140" s="303">
        <f t="shared" si="30"/>
        <v>0</v>
      </c>
      <c r="L140" s="303">
        <f t="shared" si="30"/>
        <v>0</v>
      </c>
      <c r="M140" s="303">
        <f t="shared" si="30"/>
        <v>0</v>
      </c>
      <c r="N140" s="303">
        <f t="shared" si="30"/>
        <v>118479.49000000005</v>
      </c>
      <c r="O140" s="331"/>
      <c r="P140" s="303">
        <f>P24-P138</f>
        <v>7332.4721999997273</v>
      </c>
      <c r="Q140" s="303">
        <f>Q24-Q138</f>
        <v>6165</v>
      </c>
    </row>
    <row r="141" spans="1:18" ht="15" thickTop="1" x14ac:dyDescent="0.3">
      <c r="B141" s="265"/>
      <c r="C141" s="421"/>
      <c r="D141" s="265"/>
      <c r="E141" s="265"/>
      <c r="F141" s="265"/>
      <c r="G141" s="265"/>
      <c r="H141" s="265"/>
      <c r="I141" s="265"/>
      <c r="J141" s="265"/>
      <c r="K141" s="265"/>
      <c r="L141" s="265"/>
      <c r="M141" s="265"/>
      <c r="N141" s="265"/>
      <c r="O141" s="331"/>
      <c r="P141" s="265"/>
      <c r="Q141" s="265"/>
    </row>
    <row r="142" spans="1:18" x14ac:dyDescent="0.3">
      <c r="A142" s="62" t="s">
        <v>728</v>
      </c>
      <c r="O142" s="331"/>
      <c r="P142" s="257">
        <v>1192974</v>
      </c>
      <c r="Q142" s="257">
        <f>477190+87000+30670+304871</f>
        <v>899731</v>
      </c>
    </row>
    <row r="143" spans="1:18" ht="15" thickBot="1" x14ac:dyDescent="0.35">
      <c r="A143" s="62" t="s">
        <v>727</v>
      </c>
      <c r="O143" s="331"/>
      <c r="P143" s="266">
        <f>+P142+P140</f>
        <v>1200306.4721999997</v>
      </c>
      <c r="Q143" s="266">
        <f>+Q142+Q140</f>
        <v>905896</v>
      </c>
    </row>
    <row r="144" spans="1:18" ht="15" thickTop="1" x14ac:dyDescent="0.3">
      <c r="O144" s="331"/>
      <c r="P144" s="57"/>
      <c r="Q144" s="57"/>
    </row>
    <row r="145" spans="1:17" x14ac:dyDescent="0.3">
      <c r="A145" s="241" t="s">
        <v>776</v>
      </c>
      <c r="O145" s="331"/>
      <c r="P145" s="57"/>
      <c r="Q145" s="57"/>
    </row>
    <row r="146" spans="1:17" x14ac:dyDescent="0.3">
      <c r="A146" s="57" t="s">
        <v>627</v>
      </c>
      <c r="N146" s="462">
        <f>+N109+N96+N83+N75+N76+N62+N63+N54+N44+N33</f>
        <v>194389.77000000002</v>
      </c>
      <c r="O146" s="331"/>
      <c r="P146" s="462">
        <f>+P109+P96+P83+P75+P76+P62+P63+P54+P44+P33</f>
        <v>1358410.8</v>
      </c>
      <c r="Q146" s="462">
        <f>+Q109+Q96+Q83+Q75+Q76+Q62+Q63+Q54+Q44+Q33</f>
        <v>1309656</v>
      </c>
    </row>
    <row r="147" spans="1:17" x14ac:dyDescent="0.3">
      <c r="A147" s="51" t="s">
        <v>628</v>
      </c>
      <c r="N147" s="462">
        <f>+N110+N97+N85+N77+N64+N55+N45+N34</f>
        <v>68239.8</v>
      </c>
      <c r="O147" s="331"/>
      <c r="P147" s="462">
        <f>+P110+P97+P85+P77+P64+P55+P45+P34</f>
        <v>626839.72779999999</v>
      </c>
      <c r="Q147" s="462">
        <f>+Q110+Q97+Q85+Q77+Q64+Q55+Q45+Q34</f>
        <v>619686</v>
      </c>
    </row>
    <row r="148" spans="1:17" x14ac:dyDescent="0.3">
      <c r="A148" s="57" t="s">
        <v>630</v>
      </c>
      <c r="N148" s="463">
        <f>+N138-N146-N147-N149</f>
        <v>132138.56</v>
      </c>
      <c r="O148" s="331"/>
      <c r="P148" s="463">
        <f>+P138-P146-P147-P149-P137</f>
        <v>898034.00000000023</v>
      </c>
      <c r="Q148" s="462">
        <f>+Q138-Q146-Q147-Q149-Q137</f>
        <v>800630</v>
      </c>
    </row>
    <row r="149" spans="1:17" x14ac:dyDescent="0.3">
      <c r="A149" s="57" t="s">
        <v>629</v>
      </c>
      <c r="N149" s="462">
        <f>+N116+N111+N102+N105+N92+N89+N79+N78+N56++N40+N38+N37</f>
        <v>28372.190000000002</v>
      </c>
      <c r="O149" s="331"/>
      <c r="P149" s="462">
        <f>+P116+P111+P102+P105+P92+P89+P79+P78+P56++P40+P38+P37</f>
        <v>188292</v>
      </c>
      <c r="Q149" s="462">
        <f>+Q116+Q111+Q102+Q105+Q92+Q89+Q79+Q78+Q56++Q40+Q38+Q37</f>
        <v>176880</v>
      </c>
    </row>
    <row r="150" spans="1:17" x14ac:dyDescent="0.3">
      <c r="A150" s="57" t="s">
        <v>25</v>
      </c>
      <c r="O150" s="331"/>
      <c r="P150" s="332">
        <f>P137</f>
        <v>0</v>
      </c>
      <c r="Q150" s="334">
        <f>Q137</f>
        <v>30000</v>
      </c>
    </row>
    <row r="151" spans="1:17" ht="15" thickBot="1" x14ac:dyDescent="0.35">
      <c r="A151" s="241" t="s">
        <v>777</v>
      </c>
      <c r="B151" s="613"/>
      <c r="C151" s="613"/>
      <c r="D151" s="613"/>
      <c r="E151" s="613"/>
      <c r="F151" s="613"/>
      <c r="G151" s="613"/>
      <c r="H151" s="613"/>
      <c r="I151" s="613"/>
      <c r="J151" s="613"/>
      <c r="K151" s="613"/>
      <c r="L151" s="613"/>
      <c r="M151" s="613"/>
      <c r="N151" s="392">
        <f>SUM(N146:N150)</f>
        <v>423140.32</v>
      </c>
      <c r="O151" s="614"/>
      <c r="P151" s="392">
        <f>SUM(P146:P150)</f>
        <v>3071576.5278000003</v>
      </c>
      <c r="Q151" s="615">
        <f>SUM(Q146:Q150)</f>
        <v>2936852</v>
      </c>
    </row>
    <row r="152" spans="1:17" ht="15" thickTop="1" x14ac:dyDescent="0.3">
      <c r="O152" s="331"/>
      <c r="P152" s="268"/>
      <c r="Q152" s="268"/>
    </row>
    <row r="153" spans="1:17" ht="15" thickBot="1" x14ac:dyDescent="0.35">
      <c r="A153" s="241" t="s">
        <v>775</v>
      </c>
      <c r="B153" s="613"/>
      <c r="C153" s="613"/>
      <c r="D153" s="613"/>
      <c r="E153" s="613"/>
      <c r="F153" s="613"/>
      <c r="G153" s="613"/>
      <c r="H153" s="613"/>
      <c r="I153" s="613"/>
      <c r="J153" s="613"/>
      <c r="K153" s="613"/>
      <c r="L153" s="613"/>
      <c r="M153" s="616"/>
      <c r="N153" s="616"/>
      <c r="O153" s="614"/>
      <c r="P153" s="617"/>
      <c r="Q153" s="618">
        <v>9473.7199999999993</v>
      </c>
    </row>
    <row r="154" spans="1:17" ht="15" thickTop="1" x14ac:dyDescent="0.3">
      <c r="O154" s="331"/>
      <c r="P154" s="57"/>
      <c r="Q154" s="57"/>
    </row>
  </sheetData>
  <pageMargins left="0.7" right="0.7" top="0.25" bottom="0.75" header="0.3" footer="0.3"/>
  <pageSetup orientation="landscape" r:id="rId1"/>
  <headerFooter>
    <oddFooter>&amp;L&amp;T&amp;D&amp;R&amp;P</oddFooter>
  </headerFooter>
  <rowBreaks count="1" manualBreakCount="1">
    <brk id="1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97"/>
  <sheetViews>
    <sheetView workbookViewId="0">
      <pane xSplit="1" ySplit="5" topLeftCell="C30" activePane="bottomRight" state="frozen"/>
      <selection pane="topRight" activeCell="B1" sqref="B1"/>
      <selection pane="bottomLeft" activeCell="A6" sqref="A6"/>
      <selection pane="bottomRight" activeCell="R72" sqref="R72"/>
    </sheetView>
  </sheetViews>
  <sheetFormatPr defaultRowHeight="14.4" x14ac:dyDescent="0.3"/>
  <cols>
    <col min="1" max="1" width="34.109375" style="57" customWidth="1"/>
    <col min="2" max="2" width="10.109375" style="57" hidden="1" customWidth="1"/>
    <col min="3" max="3" width="11" style="57" customWidth="1"/>
    <col min="4" max="13" width="11" style="57" hidden="1" customWidth="1"/>
    <col min="14" max="14" width="13.33203125" style="57" customWidth="1"/>
    <col min="15" max="15" width="6.6640625" style="268" customWidth="1"/>
    <col min="16" max="16" width="12.6640625" style="57" customWidth="1"/>
    <col min="17" max="17" width="13.5546875" style="57" customWidth="1"/>
    <col min="18" max="18" width="25.5546875" customWidth="1"/>
    <col min="19" max="19" width="22.33203125" style="195" customWidth="1"/>
    <col min="20" max="20" width="13.6640625" style="57" hidden="1" customWidth="1"/>
    <col min="21" max="21" width="20.6640625" style="57" hidden="1" customWidth="1"/>
    <col min="22" max="22" width="15.6640625" style="102" hidden="1" customWidth="1"/>
    <col min="23" max="24" width="9.109375" hidden="1" customWidth="1"/>
    <col min="25" max="25" width="28.88671875" hidden="1" customWidth="1"/>
    <col min="26" max="27" width="0" hidden="1" customWidth="1"/>
    <col min="28" max="28" width="14.5546875" customWidth="1"/>
    <col min="29" max="29" width="14.6640625" customWidth="1"/>
  </cols>
  <sheetData>
    <row r="1" spans="1:25" x14ac:dyDescent="0.3">
      <c r="A1" s="272" t="s">
        <v>15</v>
      </c>
      <c r="B1" s="272"/>
      <c r="C1" s="272"/>
      <c r="D1" s="272"/>
      <c r="E1" s="272"/>
      <c r="F1" s="272"/>
      <c r="G1" s="272"/>
      <c r="H1" s="272"/>
      <c r="I1" s="272"/>
      <c r="J1" s="272"/>
      <c r="K1" s="272"/>
      <c r="L1" s="272"/>
      <c r="M1" s="272"/>
      <c r="N1" s="272"/>
      <c r="O1" s="281"/>
      <c r="P1" s="273" t="s">
        <v>15</v>
      </c>
      <c r="Q1" s="273" t="s">
        <v>15</v>
      </c>
      <c r="R1" s="391"/>
      <c r="T1" s="273"/>
      <c r="U1" s="273"/>
      <c r="V1" s="151"/>
      <c r="Y1" s="272"/>
    </row>
    <row r="2" spans="1:25" x14ac:dyDescent="0.3">
      <c r="A2" s="274"/>
      <c r="B2" s="274"/>
      <c r="C2" s="274"/>
      <c r="D2" s="274"/>
      <c r="E2" s="274"/>
      <c r="F2" s="274"/>
      <c r="G2" s="274"/>
      <c r="H2" s="274"/>
      <c r="I2" s="274"/>
      <c r="J2" s="274"/>
      <c r="K2" s="274"/>
      <c r="L2" s="274"/>
      <c r="M2" s="274"/>
      <c r="N2" s="274"/>
      <c r="O2" s="282"/>
      <c r="P2" s="275" t="s">
        <v>15</v>
      </c>
      <c r="Q2" s="275" t="s">
        <v>15</v>
      </c>
      <c r="R2" s="391"/>
      <c r="T2" s="275"/>
      <c r="U2" s="275"/>
      <c r="V2" s="48"/>
      <c r="Y2" s="274"/>
    </row>
    <row r="3" spans="1:25" x14ac:dyDescent="0.3">
      <c r="A3" s="278" t="s">
        <v>495</v>
      </c>
      <c r="B3" s="276"/>
      <c r="C3" s="276"/>
      <c r="D3" s="276"/>
      <c r="E3" s="276"/>
      <c r="F3" s="276"/>
      <c r="G3" s="276"/>
      <c r="H3" s="276"/>
      <c r="I3" s="276"/>
      <c r="J3" s="276"/>
      <c r="K3" s="276"/>
      <c r="L3" s="276"/>
      <c r="M3" s="276"/>
      <c r="N3" s="283" t="s">
        <v>15</v>
      </c>
      <c r="O3" s="283" t="s">
        <v>15</v>
      </c>
      <c r="P3" s="277">
        <f>+'budget entry'!B3</f>
        <v>8937</v>
      </c>
      <c r="Q3" s="277">
        <v>8481</v>
      </c>
      <c r="R3" s="568" t="s">
        <v>18</v>
      </c>
      <c r="S3" s="364"/>
      <c r="T3" s="277"/>
      <c r="U3" s="277"/>
      <c r="V3" s="44"/>
      <c r="Y3" s="276"/>
    </row>
    <row r="4" spans="1:25" ht="15" thickBot="1" x14ac:dyDescent="0.35">
      <c r="A4" s="278" t="s">
        <v>496</v>
      </c>
      <c r="B4" s="278"/>
      <c r="C4" s="278"/>
      <c r="D4" s="278"/>
      <c r="E4" s="278"/>
      <c r="F4" s="278"/>
      <c r="G4" s="278"/>
      <c r="H4" s="278"/>
      <c r="I4" s="278"/>
      <c r="J4" s="278"/>
      <c r="K4" s="278"/>
      <c r="L4" s="278"/>
      <c r="M4" s="278"/>
      <c r="N4" s="278" t="s">
        <v>15</v>
      </c>
      <c r="O4" s="283" t="s">
        <v>15</v>
      </c>
      <c r="P4" s="277">
        <f>+'budget entry'!B4</f>
        <v>430</v>
      </c>
      <c r="Q4" s="277">
        <v>425</v>
      </c>
      <c r="R4" s="568" t="s">
        <v>458</v>
      </c>
      <c r="S4" s="364"/>
      <c r="T4" s="277"/>
      <c r="U4" s="277"/>
      <c r="V4" s="187"/>
      <c r="Y4" s="278"/>
    </row>
    <row r="5" spans="1:25" ht="32.4" customHeight="1" thickBot="1" x14ac:dyDescent="0.35">
      <c r="A5" s="449" t="s">
        <v>746</v>
      </c>
      <c r="B5" s="450" t="s">
        <v>608</v>
      </c>
      <c r="C5" s="451" t="s">
        <v>609</v>
      </c>
      <c r="D5" s="451" t="s">
        <v>610</v>
      </c>
      <c r="E5" s="451" t="s">
        <v>611</v>
      </c>
      <c r="F5" s="450" t="s">
        <v>558</v>
      </c>
      <c r="G5" s="450" t="s">
        <v>551</v>
      </c>
      <c r="H5" s="450" t="s">
        <v>552</v>
      </c>
      <c r="I5" s="450" t="s">
        <v>553</v>
      </c>
      <c r="J5" s="450" t="s">
        <v>554</v>
      </c>
      <c r="K5" s="450" t="s">
        <v>555</v>
      </c>
      <c r="L5" s="450" t="s">
        <v>559</v>
      </c>
      <c r="M5" s="450" t="s">
        <v>557</v>
      </c>
      <c r="N5" s="452" t="s">
        <v>494</v>
      </c>
      <c r="O5" s="453">
        <f>2/12</f>
        <v>0.16666666666666666</v>
      </c>
      <c r="P5" s="452" t="s">
        <v>676</v>
      </c>
      <c r="Q5" s="452" t="s">
        <v>674</v>
      </c>
      <c r="R5" s="454" t="s">
        <v>319</v>
      </c>
      <c r="S5" s="443"/>
      <c r="T5" s="452"/>
      <c r="U5" s="452"/>
      <c r="V5" s="455"/>
      <c r="W5" s="439"/>
      <c r="X5" s="439"/>
      <c r="Y5" s="450"/>
    </row>
    <row r="6" spans="1:25" ht="15" thickBot="1" x14ac:dyDescent="0.35">
      <c r="A6" s="260" t="s">
        <v>459</v>
      </c>
      <c r="B6" s="270"/>
      <c r="C6" s="270"/>
      <c r="D6" s="270"/>
      <c r="E6" s="270"/>
      <c r="F6" s="270"/>
      <c r="G6" s="270"/>
      <c r="H6" s="270"/>
      <c r="I6" s="270"/>
      <c r="J6" s="270"/>
      <c r="K6" s="270"/>
      <c r="L6" s="270"/>
      <c r="M6" s="270"/>
      <c r="N6" s="270"/>
      <c r="O6" s="285"/>
      <c r="R6" s="195"/>
    </row>
    <row r="7" spans="1:25" x14ac:dyDescent="0.3">
      <c r="A7" s="78" t="s">
        <v>18</v>
      </c>
      <c r="B7" s="79">
        <v>300901.56</v>
      </c>
      <c r="C7" s="79">
        <v>300901.56</v>
      </c>
      <c r="D7" s="79"/>
      <c r="E7" s="79"/>
      <c r="F7" s="79"/>
      <c r="G7" s="79"/>
      <c r="H7" s="79"/>
      <c r="I7" s="79"/>
      <c r="J7" s="79"/>
      <c r="K7" s="79"/>
      <c r="L7" s="79"/>
      <c r="M7" s="79"/>
      <c r="N7" s="79">
        <f t="shared" ref="N7:N22" si="0">SUM(B7:M7)</f>
        <v>601803.12</v>
      </c>
      <c r="O7" s="286">
        <f>N7/P7</f>
        <v>0.1566008883892675</v>
      </c>
      <c r="P7" s="79">
        <f>'budget entry'!B6</f>
        <v>3842910</v>
      </c>
      <c r="Q7" s="79">
        <v>3604630</v>
      </c>
      <c r="T7" s="79"/>
      <c r="U7" s="79"/>
      <c r="V7" s="78"/>
    </row>
    <row r="8" spans="1:25" x14ac:dyDescent="0.3">
      <c r="A8" s="78" t="s">
        <v>22</v>
      </c>
      <c r="B8" s="77"/>
      <c r="C8" s="77">
        <v>9766.23</v>
      </c>
      <c r="D8" s="77"/>
      <c r="E8" s="77"/>
      <c r="F8" s="77"/>
      <c r="G8" s="77"/>
      <c r="H8" s="77"/>
      <c r="I8" s="77"/>
      <c r="J8" s="77"/>
      <c r="K8" s="77"/>
      <c r="L8" s="77"/>
      <c r="M8" s="77"/>
      <c r="N8" s="79">
        <f t="shared" si="0"/>
        <v>9766.23</v>
      </c>
      <c r="O8" s="286">
        <f t="shared" ref="O8:O21" si="1">N8/P8</f>
        <v>9.08486511627907E-2</v>
      </c>
      <c r="P8" s="77">
        <f>'budget entry'!B7</f>
        <v>107500</v>
      </c>
      <c r="Q8" s="77">
        <v>106250</v>
      </c>
      <c r="R8" s="172" t="s">
        <v>15</v>
      </c>
      <c r="T8" s="77"/>
      <c r="U8" s="77"/>
      <c r="V8" s="78"/>
    </row>
    <row r="9" spans="1:25" x14ac:dyDescent="0.3">
      <c r="A9" s="78" t="s">
        <v>433</v>
      </c>
      <c r="B9" s="77">
        <v>16313.52</v>
      </c>
      <c r="C9" s="77">
        <v>15497.78</v>
      </c>
      <c r="D9" s="77"/>
      <c r="E9" s="77"/>
      <c r="F9" s="77"/>
      <c r="G9" s="77"/>
      <c r="H9" s="77"/>
      <c r="I9" s="77"/>
      <c r="J9" s="77"/>
      <c r="K9" s="77"/>
      <c r="L9" s="77"/>
      <c r="M9" s="77"/>
      <c r="N9" s="79">
        <f t="shared" si="0"/>
        <v>31811.300000000003</v>
      </c>
      <c r="O9" s="286"/>
      <c r="P9" s="77">
        <f>+'budget entry'!B24</f>
        <v>208120</v>
      </c>
      <c r="Q9" s="77">
        <v>170000</v>
      </c>
      <c r="R9" s="172"/>
      <c r="T9" s="77"/>
      <c r="U9" s="77"/>
      <c r="V9" s="78"/>
    </row>
    <row r="10" spans="1:25" x14ac:dyDescent="0.3">
      <c r="A10" s="78" t="s">
        <v>63</v>
      </c>
      <c r="B10" s="77">
        <v>2871.86</v>
      </c>
      <c r="C10" s="77">
        <v>3802.62</v>
      </c>
      <c r="D10" s="77"/>
      <c r="E10" s="77"/>
      <c r="F10" s="77"/>
      <c r="G10" s="77"/>
      <c r="H10" s="77"/>
      <c r="I10" s="77"/>
      <c r="J10" s="77"/>
      <c r="K10" s="77"/>
      <c r="L10" s="77"/>
      <c r="M10" s="77"/>
      <c r="N10" s="79">
        <f t="shared" si="0"/>
        <v>6674.48</v>
      </c>
      <c r="O10" s="286"/>
      <c r="P10" s="77">
        <f>+'budget entry'!B23</f>
        <v>25000</v>
      </c>
      <c r="Q10" s="77">
        <v>20000</v>
      </c>
      <c r="R10" s="172"/>
      <c r="T10" s="77"/>
      <c r="U10" s="77"/>
      <c r="V10" s="78"/>
    </row>
    <row r="11" spans="1:25" x14ac:dyDescent="0.3">
      <c r="A11" s="78" t="s">
        <v>73</v>
      </c>
      <c r="B11" s="77"/>
      <c r="C11" s="77">
        <v>1162.44</v>
      </c>
      <c r="D11" s="77"/>
      <c r="E11" s="77"/>
      <c r="F11" s="77"/>
      <c r="G11" s="77"/>
      <c r="H11" s="77"/>
      <c r="I11" s="77"/>
      <c r="J11" s="77"/>
      <c r="K11" s="77"/>
      <c r="L11" s="77"/>
      <c r="M11" s="77"/>
      <c r="N11" s="79">
        <f t="shared" si="0"/>
        <v>1162.44</v>
      </c>
      <c r="O11" s="286">
        <f t="shared" si="1"/>
        <v>0.116244</v>
      </c>
      <c r="P11" s="77">
        <f>+'budget entry'!B9</f>
        <v>10000</v>
      </c>
      <c r="Q11" s="77">
        <v>17673</v>
      </c>
      <c r="T11" s="77"/>
      <c r="U11" s="77"/>
      <c r="V11" s="78"/>
    </row>
    <row r="12" spans="1:25" x14ac:dyDescent="0.3">
      <c r="A12" s="78" t="s">
        <v>490</v>
      </c>
      <c r="B12" s="77"/>
      <c r="C12" s="77"/>
      <c r="D12" s="77"/>
      <c r="E12" s="77"/>
      <c r="F12" s="77"/>
      <c r="G12" s="77"/>
      <c r="H12" s="77"/>
      <c r="I12" s="77"/>
      <c r="J12" s="77"/>
      <c r="K12" s="77"/>
      <c r="L12" s="77"/>
      <c r="M12" s="77"/>
      <c r="N12" s="79">
        <f t="shared" si="0"/>
        <v>0</v>
      </c>
      <c r="O12" s="286">
        <f t="shared" si="1"/>
        <v>0</v>
      </c>
      <c r="P12" s="77">
        <f>+'budget entry'!B12</f>
        <v>10500</v>
      </c>
      <c r="Q12" s="77">
        <v>10000</v>
      </c>
      <c r="S12" s="401"/>
      <c r="T12" s="77"/>
      <c r="U12" s="77"/>
      <c r="V12" s="78"/>
    </row>
    <row r="13" spans="1:25" x14ac:dyDescent="0.3">
      <c r="A13" s="78" t="s">
        <v>212</v>
      </c>
      <c r="B13" s="77"/>
      <c r="C13" s="77"/>
      <c r="D13" s="77"/>
      <c r="E13" s="77"/>
      <c r="F13" s="77"/>
      <c r="G13" s="77"/>
      <c r="H13" s="77"/>
      <c r="I13" s="77"/>
      <c r="J13" s="77"/>
      <c r="K13" s="77"/>
      <c r="L13" s="77"/>
      <c r="M13" s="77"/>
      <c r="N13" s="79">
        <f t="shared" si="0"/>
        <v>0</v>
      </c>
      <c r="O13" s="286">
        <f t="shared" si="1"/>
        <v>0</v>
      </c>
      <c r="P13" s="77">
        <f>+'budget entry'!B11</f>
        <v>1500</v>
      </c>
      <c r="Q13" s="77">
        <v>9047</v>
      </c>
      <c r="S13" s="401"/>
      <c r="T13" s="77"/>
      <c r="U13" s="77"/>
      <c r="V13" s="78"/>
    </row>
    <row r="14" spans="1:25" x14ac:dyDescent="0.3">
      <c r="A14" s="78" t="s">
        <v>536</v>
      </c>
      <c r="B14" s="77">
        <v>140</v>
      </c>
      <c r="C14" s="77">
        <v>37776</v>
      </c>
      <c r="D14" s="77"/>
      <c r="E14" s="77"/>
      <c r="F14" s="77"/>
      <c r="G14" s="77"/>
      <c r="H14" s="77"/>
      <c r="I14" s="77"/>
      <c r="J14" s="77"/>
      <c r="K14" s="77"/>
      <c r="L14" s="77"/>
      <c r="M14" s="77"/>
      <c r="N14" s="79">
        <f t="shared" si="0"/>
        <v>37916</v>
      </c>
      <c r="O14" s="286">
        <f t="shared" si="1"/>
        <v>0.78338842975206613</v>
      </c>
      <c r="P14" s="77">
        <f>+'budget entry'!B17</f>
        <v>48400</v>
      </c>
      <c r="Q14" s="77">
        <v>48400</v>
      </c>
      <c r="R14" s="172" t="s">
        <v>15</v>
      </c>
      <c r="S14" s="478"/>
      <c r="T14" s="77"/>
      <c r="U14" s="77"/>
      <c r="V14" s="58"/>
    </row>
    <row r="15" spans="1:25" x14ac:dyDescent="0.3">
      <c r="A15" s="78" t="s">
        <v>17</v>
      </c>
      <c r="B15" s="77">
        <f>-202.5-18+3+13</f>
        <v>-204.5</v>
      </c>
      <c r="C15" s="77">
        <f>202+26256.5</f>
        <v>26458.5</v>
      </c>
      <c r="D15" s="77"/>
      <c r="E15" s="77"/>
      <c r="F15" s="77"/>
      <c r="G15" s="77"/>
      <c r="H15" s="77"/>
      <c r="I15" s="77"/>
      <c r="J15" s="77"/>
      <c r="K15" s="77"/>
      <c r="L15" s="77"/>
      <c r="M15" s="77"/>
      <c r="N15" s="79">
        <f t="shared" si="0"/>
        <v>26254</v>
      </c>
      <c r="O15" s="286">
        <f t="shared" si="1"/>
        <v>0.58342222222222218</v>
      </c>
      <c r="P15" s="77">
        <f>+'budget entry'!B19</f>
        <v>45000</v>
      </c>
      <c r="Q15" s="77">
        <v>43500</v>
      </c>
      <c r="R15" s="172" t="s">
        <v>15</v>
      </c>
      <c r="S15" s="479"/>
      <c r="T15" s="77"/>
      <c r="U15" s="77"/>
      <c r="V15" s="58"/>
    </row>
    <row r="16" spans="1:25" x14ac:dyDescent="0.3">
      <c r="A16" s="78" t="s">
        <v>103</v>
      </c>
      <c r="B16" s="77">
        <v>-5</v>
      </c>
      <c r="C16" s="77">
        <v>5814.65</v>
      </c>
      <c r="D16" s="77"/>
      <c r="E16" s="77"/>
      <c r="F16" s="77"/>
      <c r="G16" s="77"/>
      <c r="H16" s="77"/>
      <c r="I16" s="77"/>
      <c r="J16" s="77"/>
      <c r="K16" s="77"/>
      <c r="L16" s="77"/>
      <c r="M16" s="77"/>
      <c r="N16" s="79">
        <f t="shared" si="0"/>
        <v>5809.65</v>
      </c>
      <c r="O16" s="286">
        <f t="shared" si="1"/>
        <v>0.77461999999999998</v>
      </c>
      <c r="P16" s="77">
        <f>+'budget entry'!B18</f>
        <v>7500</v>
      </c>
      <c r="Q16" s="77">
        <v>8365</v>
      </c>
      <c r="R16" s="172"/>
      <c r="S16" s="479"/>
      <c r="T16" s="77"/>
      <c r="U16" s="77"/>
      <c r="V16" s="79"/>
    </row>
    <row r="17" spans="1:29" x14ac:dyDescent="0.3">
      <c r="A17" s="78" t="s">
        <v>146</v>
      </c>
      <c r="B17" s="77">
        <v>-67.760000000000005</v>
      </c>
      <c r="C17" s="77">
        <v>7804.94</v>
      </c>
      <c r="D17" s="77"/>
      <c r="E17" s="77"/>
      <c r="F17" s="77"/>
      <c r="G17" s="77"/>
      <c r="H17" s="77"/>
      <c r="I17" s="77"/>
      <c r="J17" s="77"/>
      <c r="K17" s="77"/>
      <c r="L17" s="77"/>
      <c r="M17" s="77"/>
      <c r="N17" s="79">
        <f t="shared" si="0"/>
        <v>7737.1799999999994</v>
      </c>
      <c r="O17" s="286">
        <f t="shared" si="1"/>
        <v>9.8877699680511175E-2</v>
      </c>
      <c r="P17" s="77">
        <f>+'budget entry'!B20</f>
        <v>78250</v>
      </c>
      <c r="Q17" s="77">
        <v>78250</v>
      </c>
      <c r="R17" s="347"/>
      <c r="S17" s="479"/>
      <c r="T17" s="77"/>
      <c r="U17" s="77"/>
      <c r="V17" s="79"/>
    </row>
    <row r="18" spans="1:29" x14ac:dyDescent="0.3">
      <c r="A18" s="78" t="s">
        <v>715</v>
      </c>
      <c r="B18" s="77"/>
      <c r="C18" s="77"/>
      <c r="D18" s="77"/>
      <c r="E18" s="77"/>
      <c r="F18" s="77"/>
      <c r="G18" s="77"/>
      <c r="H18" s="77"/>
      <c r="I18" s="77"/>
      <c r="J18" s="77"/>
      <c r="K18" s="77"/>
      <c r="L18" s="77"/>
      <c r="M18" s="77"/>
      <c r="N18" s="79">
        <f t="shared" si="0"/>
        <v>0</v>
      </c>
      <c r="O18" s="286"/>
      <c r="P18" s="77">
        <f>+'budget entry'!B27</f>
        <v>8378</v>
      </c>
      <c r="Q18" s="77"/>
      <c r="R18" s="347"/>
      <c r="S18" s="479"/>
      <c r="T18" s="77"/>
      <c r="U18" s="77"/>
      <c r="V18" s="79"/>
    </row>
    <row r="19" spans="1:29" x14ac:dyDescent="0.3">
      <c r="A19" s="78" t="s">
        <v>25</v>
      </c>
      <c r="B19" s="77">
        <f>-58.88+10832.21</f>
        <v>10773.33</v>
      </c>
      <c r="C19" s="77">
        <f>15+170+5509.12</f>
        <v>5694.12</v>
      </c>
      <c r="D19" s="77"/>
      <c r="E19" s="77"/>
      <c r="F19" s="77"/>
      <c r="G19" s="77"/>
      <c r="H19" s="77"/>
      <c r="I19" s="77"/>
      <c r="J19" s="77"/>
      <c r="K19" s="77"/>
      <c r="L19" s="77"/>
      <c r="M19" s="77"/>
      <c r="N19" s="79">
        <f t="shared" si="0"/>
        <v>16467.45</v>
      </c>
      <c r="O19" s="286">
        <f t="shared" si="1"/>
        <v>0.3533787553648069</v>
      </c>
      <c r="P19" s="77">
        <f>+'budget entry'!B22+'budget entry'!B21</f>
        <v>46600</v>
      </c>
      <c r="Q19" s="77">
        <v>7868</v>
      </c>
      <c r="S19" s="401"/>
      <c r="T19" s="77"/>
      <c r="U19" s="77"/>
      <c r="V19" s="79"/>
    </row>
    <row r="20" spans="1:29" x14ac:dyDescent="0.3">
      <c r="A20" s="78" t="s">
        <v>461</v>
      </c>
      <c r="B20" s="77"/>
      <c r="C20" s="77"/>
      <c r="D20" s="77"/>
      <c r="E20" s="77"/>
      <c r="F20" s="77"/>
      <c r="G20" s="77"/>
      <c r="H20" s="77"/>
      <c r="I20" s="77"/>
      <c r="J20" s="77"/>
      <c r="K20" s="77"/>
      <c r="L20" s="77"/>
      <c r="M20" s="77"/>
      <c r="N20" s="79">
        <f t="shared" si="0"/>
        <v>0</v>
      </c>
      <c r="O20" s="286" t="s">
        <v>15</v>
      </c>
      <c r="P20" s="77">
        <f>+'budget entry'!B25</f>
        <v>0</v>
      </c>
      <c r="Q20" s="77"/>
      <c r="R20" s="492"/>
      <c r="S20"/>
      <c r="T20" s="77"/>
      <c r="U20" s="77"/>
      <c r="V20" s="79"/>
    </row>
    <row r="21" spans="1:29" x14ac:dyDescent="0.3">
      <c r="A21" s="78" t="s">
        <v>462</v>
      </c>
      <c r="B21" s="77"/>
      <c r="C21" s="77"/>
      <c r="D21" s="77"/>
      <c r="E21" s="77"/>
      <c r="F21" s="77"/>
      <c r="G21" s="77"/>
      <c r="H21" s="77"/>
      <c r="I21" s="77"/>
      <c r="J21" s="77"/>
      <c r="K21" s="77"/>
      <c r="L21" s="77"/>
      <c r="M21" s="77"/>
      <c r="N21" s="79">
        <f t="shared" si="0"/>
        <v>0</v>
      </c>
      <c r="O21" s="286">
        <f t="shared" si="1"/>
        <v>0</v>
      </c>
      <c r="P21" s="77">
        <f>+'budget entry'!B30</f>
        <v>5100</v>
      </c>
      <c r="Q21" s="77">
        <v>10000</v>
      </c>
      <c r="R21" s="570"/>
      <c r="S21" s="571"/>
      <c r="T21" s="77"/>
      <c r="U21" s="77"/>
      <c r="V21" s="79"/>
    </row>
    <row r="22" spans="1:29" x14ac:dyDescent="0.3">
      <c r="A22" s="78" t="s">
        <v>105</v>
      </c>
      <c r="B22" s="81">
        <v>-187.86</v>
      </c>
      <c r="C22" s="81">
        <v>1737.6</v>
      </c>
      <c r="D22" s="81"/>
      <c r="E22" s="81"/>
      <c r="F22" s="81"/>
      <c r="G22" s="81"/>
      <c r="H22" s="81"/>
      <c r="I22" s="81"/>
      <c r="J22" s="81"/>
      <c r="K22" s="81"/>
      <c r="L22" s="81"/>
      <c r="M22" s="81"/>
      <c r="N22" s="103">
        <f t="shared" si="0"/>
        <v>1549.7399999999998</v>
      </c>
      <c r="O22" s="286" t="s">
        <v>15</v>
      </c>
      <c r="P22" s="81">
        <f>+'budget entry'!B29</f>
        <v>37500</v>
      </c>
      <c r="Q22" s="81"/>
      <c r="R22" s="570"/>
      <c r="S22" s="571"/>
      <c r="T22" s="81"/>
      <c r="U22" s="81"/>
      <c r="V22" s="79"/>
    </row>
    <row r="23" spans="1:29" ht="15" thickBot="1" x14ac:dyDescent="0.35">
      <c r="A23" s="273" t="s">
        <v>493</v>
      </c>
      <c r="B23" s="273">
        <f t="shared" ref="B23:N23" si="2">SUM(B7:B22)</f>
        <v>330535.15000000002</v>
      </c>
      <c r="C23" s="273">
        <f t="shared" si="2"/>
        <v>416416.44</v>
      </c>
      <c r="D23" s="273">
        <f t="shared" si="2"/>
        <v>0</v>
      </c>
      <c r="E23" s="273">
        <f t="shared" si="2"/>
        <v>0</v>
      </c>
      <c r="F23" s="273">
        <f t="shared" si="2"/>
        <v>0</v>
      </c>
      <c r="G23" s="273">
        <f t="shared" si="2"/>
        <v>0</v>
      </c>
      <c r="H23" s="273">
        <f t="shared" si="2"/>
        <v>0</v>
      </c>
      <c r="I23" s="273">
        <f t="shared" si="2"/>
        <v>0</v>
      </c>
      <c r="J23" s="273">
        <f t="shared" si="2"/>
        <v>0</v>
      </c>
      <c r="K23" s="273">
        <f t="shared" si="2"/>
        <v>0</v>
      </c>
      <c r="L23" s="273">
        <f t="shared" si="2"/>
        <v>0</v>
      </c>
      <c r="M23" s="273">
        <f t="shared" si="2"/>
        <v>0</v>
      </c>
      <c r="N23" s="273">
        <f t="shared" si="2"/>
        <v>746951.59</v>
      </c>
      <c r="O23" s="287">
        <f>N23/P23</f>
        <v>0.16664627292761816</v>
      </c>
      <c r="P23" s="273">
        <f>SUM(P7:P22)</f>
        <v>4482258</v>
      </c>
      <c r="Q23" s="273">
        <f>SUM(Q7:Q21)</f>
        <v>4133983</v>
      </c>
      <c r="R23" s="572"/>
      <c r="S23" s="571"/>
      <c r="T23" s="273"/>
      <c r="U23" s="273"/>
      <c r="V23" s="108"/>
      <c r="Y23" s="353"/>
    </row>
    <row r="24" spans="1:29" ht="15.6" thickTop="1" thickBot="1" x14ac:dyDescent="0.35">
      <c r="A24" s="54" t="s">
        <v>463</v>
      </c>
      <c r="B24" s="378"/>
      <c r="C24" s="378"/>
      <c r="D24" s="378"/>
      <c r="E24" s="378"/>
      <c r="F24" s="378"/>
      <c r="G24" s="378"/>
      <c r="H24" s="378"/>
      <c r="I24" s="378"/>
      <c r="J24" s="378"/>
      <c r="K24" s="378"/>
      <c r="L24" s="378"/>
      <c r="M24" s="378"/>
      <c r="N24" s="378"/>
      <c r="O24" s="343"/>
      <c r="P24" s="378"/>
      <c r="Q24" s="259"/>
      <c r="R24" s="526"/>
      <c r="S24" s="259"/>
      <c r="T24" s="373"/>
      <c r="U24"/>
      <c r="V24" s="378"/>
      <c r="W24" s="378"/>
      <c r="X24" s="221"/>
    </row>
    <row r="25" spans="1:29" x14ac:dyDescent="0.3">
      <c r="A25" s="128" t="s">
        <v>30</v>
      </c>
      <c r="B25" s="64"/>
      <c r="C25" s="64"/>
      <c r="D25" s="64"/>
      <c r="E25" s="64"/>
      <c r="F25" s="64"/>
      <c r="G25" s="64"/>
      <c r="H25" s="64"/>
      <c r="I25" s="64"/>
      <c r="J25" s="64"/>
      <c r="K25" s="64"/>
      <c r="L25" s="64"/>
      <c r="M25" s="64"/>
      <c r="N25" s="64"/>
      <c r="O25" s="293"/>
      <c r="P25" s="64"/>
      <c r="Q25" s="378"/>
      <c r="R25" s="195"/>
      <c r="T25" s="64"/>
      <c r="U25" s="64"/>
      <c r="V25" s="78"/>
    </row>
    <row r="26" spans="1:29" x14ac:dyDescent="0.3">
      <c r="A26" s="78" t="s">
        <v>1</v>
      </c>
      <c r="B26" s="64"/>
      <c r="C26" s="64"/>
      <c r="D26" s="64"/>
      <c r="E26" s="64"/>
      <c r="F26" s="64"/>
      <c r="G26" s="64"/>
      <c r="H26" s="64"/>
      <c r="I26" s="64"/>
      <c r="J26" s="64"/>
      <c r="K26" s="64"/>
      <c r="L26" s="64"/>
      <c r="M26" s="64"/>
      <c r="N26" s="64"/>
      <c r="O26" s="293"/>
      <c r="P26" s="64"/>
      <c r="Q26" s="64"/>
      <c r="R26" s="195"/>
      <c r="T26" s="64"/>
      <c r="U26" s="64"/>
      <c r="V26" s="221"/>
    </row>
    <row r="27" spans="1:29" x14ac:dyDescent="0.3">
      <c r="A27" s="78" t="s">
        <v>111</v>
      </c>
      <c r="B27" s="78">
        <f>71555.46-1158.33+1234.58</f>
        <v>71631.710000000006</v>
      </c>
      <c r="C27" s="78">
        <f>81188.5+1302.82-747.2-2798.84</f>
        <v>78945.280000000013</v>
      </c>
      <c r="D27" s="78"/>
      <c r="E27" s="78"/>
      <c r="F27" s="78"/>
      <c r="G27" s="78"/>
      <c r="H27" s="78"/>
      <c r="I27" s="78"/>
      <c r="J27" s="78"/>
      <c r="K27" s="78"/>
      <c r="L27" s="78"/>
      <c r="M27" s="78"/>
      <c r="N27" s="79">
        <f>SUM(B27:M27)</f>
        <v>150576.99000000002</v>
      </c>
      <c r="O27" s="286">
        <f t="shared" ref="O27:O37" si="3">N27/P27</f>
        <v>0.15950952330508478</v>
      </c>
      <c r="P27" s="78">
        <f>+'budget entry'!B34</f>
        <v>944000</v>
      </c>
      <c r="Q27" s="78">
        <v>966987</v>
      </c>
      <c r="R27" s="195"/>
      <c r="T27" s="78"/>
      <c r="U27" s="78"/>
      <c r="V27" s="78"/>
    </row>
    <row r="28" spans="1:29" x14ac:dyDescent="0.3">
      <c r="A28" s="78" t="s">
        <v>112</v>
      </c>
      <c r="B28" s="78"/>
      <c r="C28" s="78">
        <f>747.2+3537.22</f>
        <v>4284.42</v>
      </c>
      <c r="D28" s="78"/>
      <c r="E28" s="78"/>
      <c r="F28" s="78"/>
      <c r="G28" s="78"/>
      <c r="H28" s="78"/>
      <c r="I28" s="78"/>
      <c r="J28" s="78"/>
      <c r="K28" s="78"/>
      <c r="L28" s="78"/>
      <c r="M28" s="78"/>
      <c r="N28" s="79">
        <f>SUM(B28:M28)</f>
        <v>4284.42</v>
      </c>
      <c r="O28" s="286">
        <f t="shared" si="3"/>
        <v>0.1713768</v>
      </c>
      <c r="P28" s="82">
        <f>+'budget entry'!B35</f>
        <v>25000</v>
      </c>
      <c r="Q28" s="78">
        <v>25000</v>
      </c>
      <c r="R28" s="195"/>
      <c r="T28" s="78"/>
      <c r="U28" s="78"/>
      <c r="V28" s="78"/>
    </row>
    <row r="29" spans="1:29" x14ac:dyDescent="0.3">
      <c r="A29" s="78" t="s">
        <v>291</v>
      </c>
      <c r="B29" s="78"/>
      <c r="C29" s="78"/>
      <c r="D29" s="78"/>
      <c r="E29" s="78"/>
      <c r="F29" s="78"/>
      <c r="G29" s="78"/>
      <c r="H29" s="78"/>
      <c r="I29" s="78"/>
      <c r="J29" s="78"/>
      <c r="K29" s="78"/>
      <c r="L29" s="78"/>
      <c r="M29" s="78"/>
      <c r="N29" s="79"/>
      <c r="O29" s="286"/>
      <c r="P29" s="82">
        <f>+'budget entry'!B37</f>
        <v>62069</v>
      </c>
      <c r="Q29" s="78"/>
      <c r="R29" s="195"/>
      <c r="T29" s="78"/>
      <c r="U29" s="78"/>
      <c r="V29" s="78"/>
    </row>
    <row r="30" spans="1:29" x14ac:dyDescent="0.3">
      <c r="A30" s="78" t="s">
        <v>113</v>
      </c>
      <c r="B30" s="81">
        <v>1158.33</v>
      </c>
      <c r="C30" s="81">
        <v>2798.84</v>
      </c>
      <c r="D30" s="81"/>
      <c r="E30" s="81"/>
      <c r="F30" s="81"/>
      <c r="G30" s="81"/>
      <c r="H30" s="81"/>
      <c r="I30" s="81"/>
      <c r="J30" s="81"/>
      <c r="K30" s="81"/>
      <c r="L30" s="81"/>
      <c r="M30" s="81"/>
      <c r="N30" s="103">
        <f>SUM(B30:M30)</f>
        <v>3957.17</v>
      </c>
      <c r="O30" s="286">
        <f t="shared" si="3"/>
        <v>8.2098962655601668E-2</v>
      </c>
      <c r="P30" s="209">
        <f>+'budget entry'!B36</f>
        <v>48200</v>
      </c>
      <c r="Q30" s="103">
        <v>46300</v>
      </c>
      <c r="R30" s="195"/>
      <c r="T30" s="82"/>
      <c r="U30" s="82"/>
      <c r="V30" s="78"/>
    </row>
    <row r="31" spans="1:29" x14ac:dyDescent="0.3">
      <c r="A31" s="78" t="s">
        <v>114</v>
      </c>
      <c r="B31" s="77">
        <f t="shared" ref="B31:N31" si="4">SUM(B27:B30)</f>
        <v>72790.040000000008</v>
      </c>
      <c r="C31" s="77">
        <f t="shared" si="4"/>
        <v>86028.540000000008</v>
      </c>
      <c r="D31" s="77">
        <f t="shared" si="4"/>
        <v>0</v>
      </c>
      <c r="E31" s="77">
        <f t="shared" si="4"/>
        <v>0</v>
      </c>
      <c r="F31" s="77">
        <f t="shared" si="4"/>
        <v>0</v>
      </c>
      <c r="G31" s="77">
        <f t="shared" si="4"/>
        <v>0</v>
      </c>
      <c r="H31" s="77">
        <f t="shared" si="4"/>
        <v>0</v>
      </c>
      <c r="I31" s="77">
        <f t="shared" si="4"/>
        <v>0</v>
      </c>
      <c r="J31" s="77">
        <f t="shared" si="4"/>
        <v>0</v>
      </c>
      <c r="K31" s="77">
        <f t="shared" si="4"/>
        <v>0</v>
      </c>
      <c r="L31" s="77">
        <f t="shared" si="4"/>
        <v>0</v>
      </c>
      <c r="M31" s="77">
        <f t="shared" si="4"/>
        <v>0</v>
      </c>
      <c r="N31" s="77">
        <f t="shared" si="4"/>
        <v>158818.58000000005</v>
      </c>
      <c r="O31" s="286">
        <f t="shared" si="3"/>
        <v>0.14715384209126736</v>
      </c>
      <c r="P31" s="77">
        <f>SUM(P27:P30)</f>
        <v>1079269</v>
      </c>
      <c r="Q31" s="77">
        <f>SUM(Q27:Q30)</f>
        <v>1038287</v>
      </c>
      <c r="R31" s="195"/>
      <c r="T31" s="77"/>
      <c r="U31" s="77"/>
      <c r="V31" s="78"/>
    </row>
    <row r="32" spans="1:29" x14ac:dyDescent="0.3">
      <c r="A32" s="78" t="s">
        <v>497</v>
      </c>
      <c r="B32" s="82">
        <f>269.76+22075.62</f>
        <v>22345.379999999997</v>
      </c>
      <c r="C32" s="82">
        <f>25146.61+284.67</f>
        <v>25431.279999999999</v>
      </c>
      <c r="D32" s="82"/>
      <c r="E32" s="82"/>
      <c r="F32" s="82"/>
      <c r="G32" s="82"/>
      <c r="H32" s="82"/>
      <c r="I32" s="82"/>
      <c r="J32" s="82"/>
      <c r="K32" s="82"/>
      <c r="L32" s="82"/>
      <c r="M32" s="82"/>
      <c r="N32" s="79">
        <f t="shared" ref="N32:N37" si="5">SUM(B32:M32)</f>
        <v>47776.659999999996</v>
      </c>
      <c r="O32" s="286">
        <f t="shared" si="3"/>
        <v>0.11029840816784905</v>
      </c>
      <c r="P32" s="82">
        <f>+'budget entry'!B43</f>
        <v>433158.20049999998</v>
      </c>
      <c r="Q32" s="76">
        <v>434373</v>
      </c>
      <c r="R32" s="195"/>
      <c r="T32" s="82"/>
      <c r="U32" s="82"/>
      <c r="V32" s="82"/>
      <c r="AB32" s="463"/>
      <c r="AC32" s="463"/>
    </row>
    <row r="33" spans="1:29" x14ac:dyDescent="0.3">
      <c r="A33" s="78" t="s">
        <v>82</v>
      </c>
      <c r="B33" s="77">
        <v>1814.21</v>
      </c>
      <c r="C33" s="77">
        <v>3628.42</v>
      </c>
      <c r="D33" s="77"/>
      <c r="E33" s="77"/>
      <c r="F33" s="77"/>
      <c r="G33" s="77"/>
      <c r="H33" s="77"/>
      <c r="I33" s="77"/>
      <c r="J33" s="77"/>
      <c r="K33" s="77"/>
      <c r="L33" s="77"/>
      <c r="M33" s="77"/>
      <c r="N33" s="79">
        <f t="shared" si="5"/>
        <v>5442.63</v>
      </c>
      <c r="O33" s="286">
        <f t="shared" si="3"/>
        <v>0.17008218750000001</v>
      </c>
      <c r="P33" s="77">
        <f>+'budget entry'!B45</f>
        <v>32000</v>
      </c>
      <c r="Q33" s="76">
        <v>32000</v>
      </c>
      <c r="R33" s="195"/>
      <c r="T33" s="77"/>
      <c r="U33" s="77"/>
      <c r="V33" s="82"/>
    </row>
    <row r="34" spans="1:29" x14ac:dyDescent="0.3">
      <c r="A34" s="78" t="s">
        <v>455</v>
      </c>
      <c r="B34" s="77">
        <v>10000</v>
      </c>
      <c r="C34" s="77">
        <v>10000</v>
      </c>
      <c r="D34" s="77"/>
      <c r="E34" s="77"/>
      <c r="F34" s="77"/>
      <c r="G34" s="77"/>
      <c r="H34" s="77"/>
      <c r="I34" s="77"/>
      <c r="J34" s="77"/>
      <c r="K34" s="77"/>
      <c r="L34" s="77"/>
      <c r="M34" s="77"/>
      <c r="N34" s="79">
        <f t="shared" si="5"/>
        <v>20000</v>
      </c>
      <c r="O34" s="286">
        <f t="shared" si="3"/>
        <v>8.6956521739130432E-2</v>
      </c>
      <c r="P34" s="77">
        <f>+'budget entry'!B46</f>
        <v>230000</v>
      </c>
      <c r="Q34" s="76">
        <v>223694</v>
      </c>
      <c r="R34" s="405"/>
      <c r="T34" s="77"/>
      <c r="U34" s="77"/>
      <c r="V34" s="82"/>
    </row>
    <row r="35" spans="1:29" x14ac:dyDescent="0.3">
      <c r="A35" s="78" t="s">
        <v>276</v>
      </c>
      <c r="B35" s="77"/>
      <c r="C35" s="77">
        <f>750+20064.98-1031.28</f>
        <v>19783.7</v>
      </c>
      <c r="D35" s="77"/>
      <c r="E35" s="77"/>
      <c r="F35" s="77"/>
      <c r="G35" s="77"/>
      <c r="H35" s="77"/>
      <c r="I35" s="77"/>
      <c r="J35" s="77"/>
      <c r="K35" s="77"/>
      <c r="L35" s="77"/>
      <c r="M35" s="77"/>
      <c r="N35" s="79">
        <f t="shared" si="5"/>
        <v>19783.7</v>
      </c>
      <c r="O35" s="286">
        <f t="shared" si="3"/>
        <v>0.49424652743079844</v>
      </c>
      <c r="P35" s="77">
        <f>+'budget entry'!B47+'budget entry'!B51</f>
        <v>40028</v>
      </c>
      <c r="Q35" s="76">
        <v>38500</v>
      </c>
      <c r="R35" s="197" t="s">
        <v>769</v>
      </c>
      <c r="T35" s="77"/>
      <c r="U35" s="77"/>
      <c r="V35" s="82"/>
    </row>
    <row r="36" spans="1:29" x14ac:dyDescent="0.3">
      <c r="A36" s="78" t="s">
        <v>85</v>
      </c>
      <c r="B36" s="77">
        <v>6856.96</v>
      </c>
      <c r="C36" s="77">
        <v>1031.8</v>
      </c>
      <c r="D36" s="77"/>
      <c r="E36" s="77"/>
      <c r="F36" s="77"/>
      <c r="G36" s="77"/>
      <c r="H36" s="77"/>
      <c r="I36" s="77"/>
      <c r="J36" s="77"/>
      <c r="K36" s="77"/>
      <c r="L36" s="77"/>
      <c r="M36" s="77"/>
      <c r="N36" s="79">
        <f t="shared" si="5"/>
        <v>7888.76</v>
      </c>
      <c r="O36" s="286">
        <f t="shared" si="3"/>
        <v>0.18546514635006467</v>
      </c>
      <c r="P36" s="77">
        <f>+'budget entry'!B48</f>
        <v>42535</v>
      </c>
      <c r="Q36" s="76">
        <v>43120</v>
      </c>
      <c r="R36" s="195"/>
      <c r="T36" s="77"/>
      <c r="U36" s="77"/>
      <c r="V36" s="82"/>
    </row>
    <row r="37" spans="1:29" x14ac:dyDescent="0.3">
      <c r="A37" s="78" t="s">
        <v>465</v>
      </c>
      <c r="B37" s="63">
        <v>9851.3700000000008</v>
      </c>
      <c r="C37" s="63">
        <v>12657.93</v>
      </c>
      <c r="D37" s="63"/>
      <c r="E37" s="63"/>
      <c r="F37" s="63"/>
      <c r="G37" s="63"/>
      <c r="H37" s="63"/>
      <c r="I37" s="63"/>
      <c r="J37" s="63"/>
      <c r="K37" s="63"/>
      <c r="L37" s="63"/>
      <c r="M37" s="63"/>
      <c r="N37" s="103">
        <f t="shared" si="5"/>
        <v>22509.300000000003</v>
      </c>
      <c r="O37" s="286">
        <f t="shared" si="3"/>
        <v>0.13493166287015948</v>
      </c>
      <c r="P37" s="63">
        <f>+'budget entry'!B49</f>
        <v>166820</v>
      </c>
      <c r="Q37" s="63">
        <v>154465</v>
      </c>
      <c r="R37" s="195"/>
      <c r="T37" s="63"/>
      <c r="U37" s="63"/>
      <c r="V37" s="103"/>
    </row>
    <row r="38" spans="1:29" x14ac:dyDescent="0.3">
      <c r="A38" s="60" t="s">
        <v>88</v>
      </c>
      <c r="B38" s="60">
        <f>SUM(B31:B37)</f>
        <v>123657.96000000002</v>
      </c>
      <c r="C38" s="60">
        <f t="shared" ref="C38:N38" si="6">SUM(C31:C37)</f>
        <v>158561.66999999998</v>
      </c>
      <c r="D38" s="60">
        <f t="shared" si="6"/>
        <v>0</v>
      </c>
      <c r="E38" s="60">
        <f t="shared" si="6"/>
        <v>0</v>
      </c>
      <c r="F38" s="60">
        <f t="shared" si="6"/>
        <v>0</v>
      </c>
      <c r="G38" s="60">
        <f t="shared" si="6"/>
        <v>0</v>
      </c>
      <c r="H38" s="60">
        <f t="shared" si="6"/>
        <v>0</v>
      </c>
      <c r="I38" s="60">
        <f t="shared" si="6"/>
        <v>0</v>
      </c>
      <c r="J38" s="60">
        <f t="shared" si="6"/>
        <v>0</v>
      </c>
      <c r="K38" s="60">
        <f t="shared" si="6"/>
        <v>0</v>
      </c>
      <c r="L38" s="60">
        <f t="shared" si="6"/>
        <v>0</v>
      </c>
      <c r="M38" s="60">
        <f t="shared" si="6"/>
        <v>0</v>
      </c>
      <c r="N38" s="60">
        <f t="shared" si="6"/>
        <v>282219.63000000006</v>
      </c>
      <c r="O38" s="286">
        <f>N38/P38</f>
        <v>0.1394496529023696</v>
      </c>
      <c r="P38" s="60">
        <f>SUM(P31:P37)</f>
        <v>2023810.2005</v>
      </c>
      <c r="Q38" s="60">
        <f>SUM(Q31:Q37)</f>
        <v>1964439</v>
      </c>
      <c r="R38" s="195"/>
      <c r="T38" s="60"/>
      <c r="U38" s="60"/>
      <c r="V38" s="105"/>
    </row>
    <row r="39" spans="1:29" ht="9" customHeight="1" x14ac:dyDescent="0.3">
      <c r="A39" s="51"/>
      <c r="B39" s="375"/>
      <c r="C39" s="375"/>
      <c r="D39" s="375"/>
      <c r="E39" s="375"/>
      <c r="F39" s="375"/>
      <c r="G39" s="375"/>
      <c r="H39" s="375"/>
      <c r="I39" s="375"/>
      <c r="J39" s="375"/>
      <c r="K39" s="375"/>
      <c r="L39" s="375"/>
      <c r="M39" s="375"/>
      <c r="N39" s="375"/>
      <c r="O39" s="346"/>
      <c r="P39" s="375"/>
      <c r="Q39" s="51"/>
      <c r="R39" s="374"/>
      <c r="S39" s="374"/>
      <c r="T39" s="375"/>
      <c r="U39" s="375"/>
      <c r="V39" s="79"/>
    </row>
    <row r="40" spans="1:29" x14ac:dyDescent="0.3">
      <c r="A40" s="128" t="s">
        <v>35</v>
      </c>
      <c r="B40" s="51"/>
      <c r="C40" s="51"/>
      <c r="D40" s="51"/>
      <c r="E40" s="51"/>
      <c r="F40" s="51"/>
      <c r="G40" s="51"/>
      <c r="H40" s="51"/>
      <c r="I40" s="51"/>
      <c r="J40" s="51"/>
      <c r="K40" s="51"/>
      <c r="L40" s="51"/>
      <c r="M40" s="51"/>
      <c r="N40" s="51"/>
      <c r="O40" s="293"/>
      <c r="P40" s="51"/>
      <c r="Q40" s="51"/>
      <c r="R40" s="195"/>
      <c r="T40" s="51"/>
      <c r="U40" s="51"/>
      <c r="V40" s="218"/>
    </row>
    <row r="41" spans="1:29" x14ac:dyDescent="0.3">
      <c r="A41" s="78" t="s">
        <v>120</v>
      </c>
      <c r="B41" s="79">
        <v>21381.4</v>
      </c>
      <c r="C41" s="79">
        <v>22370.36</v>
      </c>
      <c r="D41" s="79"/>
      <c r="E41" s="79"/>
      <c r="F41" s="79"/>
      <c r="G41" s="79"/>
      <c r="H41" s="79"/>
      <c r="I41" s="79"/>
      <c r="J41" s="79"/>
      <c r="K41" s="79"/>
      <c r="L41" s="79"/>
      <c r="M41" s="79"/>
      <c r="N41" s="79">
        <f t="shared" ref="N41:N48" si="7">SUM(B41:M41)</f>
        <v>43751.76</v>
      </c>
      <c r="O41" s="286">
        <f t="shared" ref="O41:O49" si="8">N41/P41</f>
        <v>0.18056408013008346</v>
      </c>
      <c r="P41" s="77">
        <f>+'budget entry'!B55</f>
        <v>242306</v>
      </c>
      <c r="Q41" s="79">
        <f>193378+18336</f>
        <v>211714</v>
      </c>
      <c r="R41" s="400"/>
      <c r="S41" s="400"/>
      <c r="T41" s="79"/>
      <c r="U41" s="79"/>
      <c r="V41" s="79"/>
      <c r="Y41" s="434"/>
    </row>
    <row r="42" spans="1:29" x14ac:dyDescent="0.3">
      <c r="A42" s="78" t="s">
        <v>497</v>
      </c>
      <c r="B42" s="77">
        <v>5689.23</v>
      </c>
      <c r="C42" s="77">
        <v>6179.98</v>
      </c>
      <c r="D42" s="77"/>
      <c r="E42" s="77"/>
      <c r="F42" s="77"/>
      <c r="G42" s="77"/>
      <c r="H42" s="77"/>
      <c r="I42" s="77"/>
      <c r="J42" s="77"/>
      <c r="K42" s="77"/>
      <c r="L42" s="77"/>
      <c r="M42" s="77"/>
      <c r="N42" s="79">
        <f t="shared" si="7"/>
        <v>11869.21</v>
      </c>
      <c r="O42" s="286">
        <f t="shared" si="8"/>
        <v>0.11203301340886565</v>
      </c>
      <c r="P42" s="77">
        <f>+'budget entry'!B56+'budget entry'!B57+'budget entry'!B58</f>
        <v>105943.861</v>
      </c>
      <c r="Q42" s="77">
        <f>2804+39449+2417+37773</f>
        <v>82443</v>
      </c>
      <c r="R42" s="195"/>
      <c r="T42" s="77"/>
      <c r="U42" s="77"/>
      <c r="V42" s="79"/>
      <c r="AB42" s="463"/>
      <c r="AC42" s="463"/>
    </row>
    <row r="43" spans="1:29" x14ac:dyDescent="0.3">
      <c r="A43" s="78" t="s">
        <v>466</v>
      </c>
      <c r="B43" s="77"/>
      <c r="C43" s="77"/>
      <c r="D43" s="77"/>
      <c r="E43" s="77"/>
      <c r="F43" s="77"/>
      <c r="G43" s="77"/>
      <c r="H43" s="77"/>
      <c r="I43" s="77"/>
      <c r="J43" s="77"/>
      <c r="K43" s="77"/>
      <c r="L43" s="77"/>
      <c r="M43" s="77"/>
      <c r="N43" s="79">
        <f t="shared" si="7"/>
        <v>0</v>
      </c>
      <c r="O43" s="286">
        <f t="shared" si="8"/>
        <v>0</v>
      </c>
      <c r="P43" s="77">
        <f>+'budget entry'!B59</f>
        <v>3000</v>
      </c>
      <c r="Q43" s="77">
        <v>3000</v>
      </c>
      <c r="R43" s="195"/>
      <c r="T43" s="77"/>
      <c r="U43" s="77"/>
      <c r="V43" s="79"/>
    </row>
    <row r="44" spans="1:29" x14ac:dyDescent="0.3">
      <c r="A44" s="78" t="s">
        <v>467</v>
      </c>
      <c r="B44" s="77"/>
      <c r="C44" s="77">
        <v>714.87</v>
      </c>
      <c r="D44" s="77"/>
      <c r="E44" s="77"/>
      <c r="F44" s="77"/>
      <c r="G44" s="77"/>
      <c r="H44" s="77"/>
      <c r="I44" s="77"/>
      <c r="J44" s="77"/>
      <c r="K44" s="77"/>
      <c r="L44" s="77"/>
      <c r="M44" s="77"/>
      <c r="N44" s="79">
        <f t="shared" si="7"/>
        <v>714.87</v>
      </c>
      <c r="O44" s="286">
        <f t="shared" si="8"/>
        <v>0.10212428571428571</v>
      </c>
      <c r="P44" s="77">
        <f>+'budget entry'!B60</f>
        <v>7000</v>
      </c>
      <c r="Q44" s="77">
        <v>8333</v>
      </c>
      <c r="R44" s="195"/>
      <c r="T44" s="77"/>
      <c r="U44" s="77"/>
      <c r="V44" s="79"/>
    </row>
    <row r="45" spans="1:29" x14ac:dyDescent="0.3">
      <c r="A45" s="78" t="s">
        <v>537</v>
      </c>
      <c r="B45" s="77">
        <v>3402.16</v>
      </c>
      <c r="C45" s="77">
        <f>40625.16+596.4</f>
        <v>41221.560000000005</v>
      </c>
      <c r="D45" s="77"/>
      <c r="E45" s="77"/>
      <c r="F45" s="77"/>
      <c r="G45" s="77"/>
      <c r="H45" s="77"/>
      <c r="I45" s="77"/>
      <c r="J45" s="77"/>
      <c r="K45" s="77"/>
      <c r="L45" s="77"/>
      <c r="M45" s="77"/>
      <c r="N45" s="79">
        <f t="shared" si="7"/>
        <v>44623.72</v>
      </c>
      <c r="O45" s="286">
        <f t="shared" si="8"/>
        <v>0.8058459593679459</v>
      </c>
      <c r="P45" s="77">
        <f>+'budget entry'!B62</f>
        <v>55375</v>
      </c>
      <c r="Q45" s="77">
        <v>55375</v>
      </c>
      <c r="R45" s="195"/>
      <c r="T45" s="77"/>
      <c r="U45" s="77"/>
      <c r="V45" s="103"/>
      <c r="Y45" s="434"/>
    </row>
    <row r="46" spans="1:29" x14ac:dyDescent="0.3">
      <c r="A46" s="78" t="s">
        <v>103</v>
      </c>
      <c r="B46" s="77"/>
      <c r="C46" s="77">
        <v>1921.4</v>
      </c>
      <c r="D46" s="77"/>
      <c r="E46" s="77"/>
      <c r="F46" s="77"/>
      <c r="G46" s="77"/>
      <c r="H46" s="77"/>
      <c r="I46" s="77"/>
      <c r="J46" s="77"/>
      <c r="K46" s="77"/>
      <c r="L46" s="77"/>
      <c r="M46" s="77"/>
      <c r="N46" s="79">
        <f t="shared" si="7"/>
        <v>1921.4</v>
      </c>
      <c r="O46" s="286">
        <f t="shared" si="8"/>
        <v>0.25618666666666667</v>
      </c>
      <c r="P46" s="57">
        <f>+'budget entry'!B63</f>
        <v>7500</v>
      </c>
      <c r="Q46" s="77">
        <v>8365</v>
      </c>
      <c r="R46" s="195"/>
      <c r="T46" s="77"/>
      <c r="U46" s="77"/>
      <c r="V46" s="78"/>
    </row>
    <row r="47" spans="1:29" x14ac:dyDescent="0.3">
      <c r="A47" s="78" t="s">
        <v>469</v>
      </c>
      <c r="B47" s="77"/>
      <c r="C47" s="77"/>
      <c r="D47" s="77"/>
      <c r="E47" s="77"/>
      <c r="F47" s="77"/>
      <c r="G47" s="77"/>
      <c r="H47" s="77"/>
      <c r="I47" s="77"/>
      <c r="J47" s="77"/>
      <c r="K47" s="77"/>
      <c r="L47" s="77"/>
      <c r="M47" s="77"/>
      <c r="N47" s="79">
        <f t="shared" si="7"/>
        <v>0</v>
      </c>
      <c r="O47" s="286">
        <f t="shared" si="8"/>
        <v>0</v>
      </c>
      <c r="P47" s="77">
        <f>+'budget entry'!B65</f>
        <v>25000</v>
      </c>
      <c r="Q47" s="77">
        <v>23000</v>
      </c>
      <c r="R47" s="195"/>
      <c r="T47" s="77"/>
      <c r="U47" s="77"/>
      <c r="V47" s="77"/>
    </row>
    <row r="48" spans="1:29" x14ac:dyDescent="0.3">
      <c r="A48" s="78" t="s">
        <v>503</v>
      </c>
      <c r="B48" s="81"/>
      <c r="C48" s="81"/>
      <c r="D48" s="81"/>
      <c r="E48" s="81"/>
      <c r="F48" s="81"/>
      <c r="G48" s="81"/>
      <c r="H48" s="81"/>
      <c r="I48" s="81"/>
      <c r="J48" s="81"/>
      <c r="K48" s="81"/>
      <c r="L48" s="81"/>
      <c r="M48" s="81"/>
      <c r="N48" s="103">
        <f t="shared" si="7"/>
        <v>0</v>
      </c>
      <c r="O48" s="286">
        <f t="shared" si="8"/>
        <v>0</v>
      </c>
      <c r="P48" s="81">
        <f>+'budget entry'!B66</f>
        <v>865</v>
      </c>
      <c r="Q48" s="81">
        <v>850</v>
      </c>
      <c r="R48" s="195"/>
      <c r="T48" s="81"/>
      <c r="U48" s="81"/>
      <c r="V48" s="82"/>
    </row>
    <row r="49" spans="1:29" x14ac:dyDescent="0.3">
      <c r="A49" s="60" t="s">
        <v>615</v>
      </c>
      <c r="B49" s="60">
        <f>SUM(B41:B48)</f>
        <v>30472.79</v>
      </c>
      <c r="C49" s="60">
        <f>SUM(C41:C48)</f>
        <v>72408.17</v>
      </c>
      <c r="D49" s="60">
        <f>SUM(D41:D48)</f>
        <v>0</v>
      </c>
      <c r="E49" s="60">
        <f>SUM(E41:E48)</f>
        <v>0</v>
      </c>
      <c r="F49" s="60">
        <f t="shared" ref="F49:M49" si="9">SUM(F41:F48)</f>
        <v>0</v>
      </c>
      <c r="G49" s="60">
        <f t="shared" si="9"/>
        <v>0</v>
      </c>
      <c r="H49" s="60">
        <f t="shared" si="9"/>
        <v>0</v>
      </c>
      <c r="I49" s="60">
        <f t="shared" si="9"/>
        <v>0</v>
      </c>
      <c r="J49" s="60">
        <f t="shared" si="9"/>
        <v>0</v>
      </c>
      <c r="K49" s="60">
        <f t="shared" si="9"/>
        <v>0</v>
      </c>
      <c r="L49" s="60">
        <f t="shared" si="9"/>
        <v>0</v>
      </c>
      <c r="M49" s="60">
        <f t="shared" si="9"/>
        <v>0</v>
      </c>
      <c r="N49" s="60">
        <f>SUM(N41:N48)</f>
        <v>102880.95999999999</v>
      </c>
      <c r="O49" s="286">
        <f t="shared" si="8"/>
        <v>0.23016396785787493</v>
      </c>
      <c r="P49" s="60">
        <f>SUM(P41:P48)</f>
        <v>446989.86100000003</v>
      </c>
      <c r="Q49" s="60">
        <f>SUM(Q41:Q48)</f>
        <v>393080</v>
      </c>
      <c r="R49" s="195"/>
      <c r="T49" s="60"/>
      <c r="U49" s="60"/>
      <c r="V49" s="110"/>
    </row>
    <row r="50" spans="1:29" ht="9" customHeight="1" x14ac:dyDescent="0.3">
      <c r="A50" s="51"/>
      <c r="B50" s="375"/>
      <c r="C50" s="375"/>
      <c r="D50" s="375"/>
      <c r="E50" s="375"/>
      <c r="F50" s="375"/>
      <c r="G50" s="375"/>
      <c r="H50" s="375"/>
      <c r="I50" s="375"/>
      <c r="J50" s="375"/>
      <c r="K50" s="375"/>
      <c r="L50" s="375"/>
      <c r="M50" s="375"/>
      <c r="N50" s="375"/>
      <c r="O50" s="346"/>
      <c r="P50" s="375"/>
      <c r="Q50" s="51"/>
      <c r="R50" s="374"/>
      <c r="S50" s="374"/>
      <c r="T50" s="375"/>
      <c r="U50" s="375"/>
      <c r="V50" s="79"/>
    </row>
    <row r="51" spans="1:29" x14ac:dyDescent="0.3">
      <c r="A51" s="128" t="s">
        <v>126</v>
      </c>
      <c r="B51" s="51"/>
      <c r="C51" s="51"/>
      <c r="D51" s="51"/>
      <c r="E51" s="51"/>
      <c r="F51" s="51"/>
      <c r="G51" s="51"/>
      <c r="H51" s="51"/>
      <c r="I51" s="51"/>
      <c r="J51" s="51"/>
      <c r="K51" s="51"/>
      <c r="L51" s="51"/>
      <c r="M51" s="51"/>
      <c r="N51" s="51"/>
      <c r="O51" s="293"/>
      <c r="P51" s="51"/>
      <c r="Q51" s="51"/>
      <c r="R51" s="195"/>
      <c r="T51" s="51"/>
      <c r="U51" s="51"/>
      <c r="V51" s="218"/>
    </row>
    <row r="52" spans="1:29" x14ac:dyDescent="0.3">
      <c r="A52" s="78" t="s">
        <v>1</v>
      </c>
      <c r="B52" s="78">
        <v>2686.59</v>
      </c>
      <c r="C52" s="78">
        <v>2788.91</v>
      </c>
      <c r="D52" s="78"/>
      <c r="E52" s="78"/>
      <c r="F52" s="78"/>
      <c r="G52" s="78"/>
      <c r="H52" s="78"/>
      <c r="I52" s="78"/>
      <c r="J52" s="78"/>
      <c r="K52" s="78"/>
      <c r="L52" s="78"/>
      <c r="M52" s="78"/>
      <c r="N52" s="79">
        <f t="shared" ref="N52:N58" si="10">SUM(B52:M52)</f>
        <v>5475.5</v>
      </c>
      <c r="O52" s="286">
        <f t="shared" ref="O52:O59" si="11">N52/P52</f>
        <v>0.16984087595769098</v>
      </c>
      <c r="P52" s="77">
        <f>+'budget entry'!B70</f>
        <v>32239</v>
      </c>
      <c r="Q52" s="78">
        <v>32239</v>
      </c>
      <c r="R52" s="195"/>
      <c r="T52" s="78"/>
      <c r="U52" s="78"/>
      <c r="V52" s="79"/>
    </row>
    <row r="53" spans="1:29" x14ac:dyDescent="0.3">
      <c r="A53" s="78" t="s">
        <v>497</v>
      </c>
      <c r="B53" s="77">
        <v>1274.26</v>
      </c>
      <c r="C53" s="77">
        <v>1220.01</v>
      </c>
      <c r="D53" s="77"/>
      <c r="E53" s="77"/>
      <c r="F53" s="77"/>
      <c r="G53" s="77"/>
      <c r="H53" s="77"/>
      <c r="I53" s="77"/>
      <c r="J53" s="77"/>
      <c r="K53" s="77"/>
      <c r="L53" s="77"/>
      <c r="M53" s="77"/>
      <c r="N53" s="79">
        <f t="shared" si="10"/>
        <v>2494.27</v>
      </c>
      <c r="O53" s="286">
        <f t="shared" si="11"/>
        <v>0.1382309566527988</v>
      </c>
      <c r="P53" s="77">
        <f>+'budget entry'!B71+'budget entry'!B72+'budget entry'!B73</f>
        <v>18044.2215</v>
      </c>
      <c r="Q53" s="77">
        <f>467+6577+403+9636</f>
        <v>17083</v>
      </c>
      <c r="R53" s="195" t="s">
        <v>15</v>
      </c>
      <c r="S53" s="400"/>
      <c r="T53" s="77"/>
      <c r="U53" s="77"/>
      <c r="V53" s="79"/>
      <c r="AB53" s="463"/>
      <c r="AC53" s="463"/>
    </row>
    <row r="54" spans="1:29" x14ac:dyDescent="0.3">
      <c r="A54" s="78" t="s">
        <v>2</v>
      </c>
      <c r="B54" s="77"/>
      <c r="C54" s="77">
        <f>685.42+335.61+87.58+1731.91</f>
        <v>2840.52</v>
      </c>
      <c r="D54" s="77"/>
      <c r="E54" s="77"/>
      <c r="F54" s="77"/>
      <c r="G54" s="77"/>
      <c r="H54" s="77"/>
      <c r="I54" s="77"/>
      <c r="J54" s="77"/>
      <c r="K54" s="77"/>
      <c r="L54" s="77"/>
      <c r="M54" s="77"/>
      <c r="N54" s="79">
        <f t="shared" si="10"/>
        <v>2840.52</v>
      </c>
      <c r="O54" s="286">
        <f t="shared" si="11"/>
        <v>0.11362079999999999</v>
      </c>
      <c r="P54" s="77">
        <f>+'budget entry'!B74</f>
        <v>25000</v>
      </c>
      <c r="Q54" s="77">
        <v>20292</v>
      </c>
      <c r="R54" s="195"/>
      <c r="T54" s="77"/>
      <c r="U54" s="77"/>
      <c r="V54" s="79"/>
    </row>
    <row r="55" spans="1:29" x14ac:dyDescent="0.3">
      <c r="A55" s="78" t="s">
        <v>618</v>
      </c>
      <c r="B55" s="77"/>
      <c r="C55" s="77"/>
      <c r="D55" s="77"/>
      <c r="E55" s="77"/>
      <c r="F55" s="77"/>
      <c r="G55" s="77"/>
      <c r="H55" s="77"/>
      <c r="I55" s="77"/>
      <c r="J55" s="77"/>
      <c r="K55" s="77"/>
      <c r="L55" s="77"/>
      <c r="M55" s="77"/>
      <c r="N55" s="79">
        <f t="shared" si="10"/>
        <v>0</v>
      </c>
      <c r="O55" s="286">
        <f t="shared" si="11"/>
        <v>0</v>
      </c>
      <c r="P55" s="77">
        <f>+'budget entry'!B75</f>
        <v>8466</v>
      </c>
      <c r="Q55" s="77">
        <v>11000</v>
      </c>
      <c r="R55" s="195"/>
      <c r="T55" s="77"/>
      <c r="U55" s="77"/>
      <c r="V55" s="103"/>
    </row>
    <row r="56" spans="1:29" x14ac:dyDescent="0.3">
      <c r="A56" s="78" t="s">
        <v>86</v>
      </c>
      <c r="B56" s="77"/>
      <c r="C56" s="77"/>
      <c r="D56" s="77"/>
      <c r="E56" s="77"/>
      <c r="F56" s="77"/>
      <c r="G56" s="77"/>
      <c r="H56" s="77"/>
      <c r="I56" s="77"/>
      <c r="J56" s="77"/>
      <c r="K56" s="77"/>
      <c r="L56" s="77"/>
      <c r="M56" s="77"/>
      <c r="N56" s="79">
        <f t="shared" si="10"/>
        <v>0</v>
      </c>
      <c r="O56" s="286">
        <f t="shared" si="11"/>
        <v>0</v>
      </c>
      <c r="P56" s="77">
        <f>+'budget entry'!B76</f>
        <v>3850</v>
      </c>
      <c r="Q56" s="77">
        <v>3850</v>
      </c>
      <c r="R56" s="195"/>
      <c r="T56" s="77"/>
      <c r="U56" s="77"/>
      <c r="V56" s="82"/>
    </row>
    <row r="57" spans="1:29" x14ac:dyDescent="0.3">
      <c r="A57" s="78" t="s">
        <v>38</v>
      </c>
      <c r="B57" s="77">
        <f>4001.6+6274</f>
        <v>10275.6</v>
      </c>
      <c r="C57" s="77"/>
      <c r="D57" s="77"/>
      <c r="E57" s="77"/>
      <c r="F57" s="77"/>
      <c r="G57" s="77"/>
      <c r="H57" s="77"/>
      <c r="I57" s="77"/>
      <c r="J57" s="77"/>
      <c r="K57" s="77"/>
      <c r="L57" s="77"/>
      <c r="M57" s="77"/>
      <c r="N57" s="79">
        <f t="shared" si="10"/>
        <v>10275.6</v>
      </c>
      <c r="O57" s="286">
        <f t="shared" si="11"/>
        <v>0.97862857142857151</v>
      </c>
      <c r="P57" s="57">
        <f>+'budget entry'!B77</f>
        <v>10500</v>
      </c>
      <c r="Q57" s="77">
        <v>9993</v>
      </c>
      <c r="R57" s="195"/>
      <c r="T57" s="77"/>
      <c r="U57" s="77"/>
      <c r="V57" s="82"/>
    </row>
    <row r="58" spans="1:29" x14ac:dyDescent="0.3">
      <c r="A58" s="78" t="s">
        <v>39</v>
      </c>
      <c r="B58" s="81"/>
      <c r="C58" s="81">
        <v>8.85</v>
      </c>
      <c r="D58" s="81"/>
      <c r="E58" s="81"/>
      <c r="F58" s="81"/>
      <c r="G58" s="81"/>
      <c r="H58" s="81"/>
      <c r="I58" s="81"/>
      <c r="J58" s="81"/>
      <c r="K58" s="81"/>
      <c r="L58" s="81"/>
      <c r="M58" s="81"/>
      <c r="N58" s="103">
        <f t="shared" si="10"/>
        <v>8.85</v>
      </c>
      <c r="O58" s="286">
        <f t="shared" si="11"/>
        <v>4.9166666666666662E-4</v>
      </c>
      <c r="P58" s="81">
        <f>+'budget entry'!B78</f>
        <v>18000</v>
      </c>
      <c r="Q58" s="81">
        <v>10000</v>
      </c>
      <c r="R58" s="195"/>
      <c r="T58" s="81"/>
      <c r="U58" s="81"/>
      <c r="V58" s="82"/>
    </row>
    <row r="59" spans="1:29" x14ac:dyDescent="0.3">
      <c r="A59" s="60" t="s">
        <v>143</v>
      </c>
      <c r="B59" s="60">
        <f>SUM(B52:B58)</f>
        <v>14236.45</v>
      </c>
      <c r="C59" s="60">
        <f>SUM(C52:C58)</f>
        <v>6858.2900000000009</v>
      </c>
      <c r="D59" s="60">
        <f>SUM(D52:D58)</f>
        <v>0</v>
      </c>
      <c r="E59" s="60">
        <f>SUM(E52:E58)</f>
        <v>0</v>
      </c>
      <c r="F59" s="60">
        <f t="shared" ref="F59:M59" si="12">SUM(F52:F58)</f>
        <v>0</v>
      </c>
      <c r="G59" s="60">
        <f t="shared" si="12"/>
        <v>0</v>
      </c>
      <c r="H59" s="60">
        <f t="shared" si="12"/>
        <v>0</v>
      </c>
      <c r="I59" s="60">
        <f t="shared" si="12"/>
        <v>0</v>
      </c>
      <c r="J59" s="60">
        <f t="shared" si="12"/>
        <v>0</v>
      </c>
      <c r="K59" s="60">
        <f t="shared" si="12"/>
        <v>0</v>
      </c>
      <c r="L59" s="60">
        <f t="shared" si="12"/>
        <v>0</v>
      </c>
      <c r="M59" s="60">
        <f t="shared" si="12"/>
        <v>0</v>
      </c>
      <c r="N59" s="60">
        <f>SUM(N52:N58)</f>
        <v>21094.739999999998</v>
      </c>
      <c r="O59" s="286">
        <f t="shared" si="11"/>
        <v>0.18169579199116334</v>
      </c>
      <c r="P59" s="60">
        <f>SUM(P52:P58)</f>
        <v>116099.2215</v>
      </c>
      <c r="Q59" s="60">
        <f>SUM(Q52:Q58)</f>
        <v>104457</v>
      </c>
      <c r="R59" s="195"/>
      <c r="T59" s="60"/>
      <c r="U59" s="60"/>
      <c r="V59" s="110"/>
    </row>
    <row r="60" spans="1:29" ht="9" customHeight="1" x14ac:dyDescent="0.3">
      <c r="A60" s="51"/>
      <c r="B60" s="375"/>
      <c r="C60" s="375"/>
      <c r="D60" s="375"/>
      <c r="E60" s="375"/>
      <c r="F60" s="375"/>
      <c r="G60" s="375"/>
      <c r="H60" s="375"/>
      <c r="I60" s="375"/>
      <c r="J60" s="375"/>
      <c r="K60" s="375"/>
      <c r="L60" s="375"/>
      <c r="M60" s="375"/>
      <c r="N60" s="375"/>
      <c r="O60" s="346"/>
      <c r="P60" s="375"/>
      <c r="Q60" s="51"/>
      <c r="R60" s="374"/>
      <c r="S60" s="374"/>
      <c r="T60" s="375"/>
      <c r="U60" s="375"/>
      <c r="V60" s="79"/>
      <c r="AC60" t="s">
        <v>15</v>
      </c>
    </row>
    <row r="61" spans="1:29" x14ac:dyDescent="0.3">
      <c r="A61" s="128" t="s">
        <v>576</v>
      </c>
      <c r="B61" s="51"/>
      <c r="C61" s="51"/>
      <c r="D61" s="51"/>
      <c r="E61" s="51"/>
      <c r="F61" s="51"/>
      <c r="G61" s="51"/>
      <c r="H61" s="51"/>
      <c r="I61" s="51"/>
      <c r="J61" s="51"/>
      <c r="K61" s="51"/>
      <c r="L61" s="51"/>
      <c r="M61" s="51"/>
      <c r="N61" s="51"/>
      <c r="O61" s="293"/>
      <c r="P61" s="51"/>
      <c r="Q61" s="51"/>
      <c r="R61" s="195"/>
      <c r="T61" s="51"/>
      <c r="U61" s="51"/>
      <c r="V61" s="218"/>
    </row>
    <row r="62" spans="1:29" x14ac:dyDescent="0.3">
      <c r="A62" s="78" t="s">
        <v>1</v>
      </c>
      <c r="B62" s="51">
        <v>4637.07</v>
      </c>
      <c r="C62" s="51">
        <v>4637.07</v>
      </c>
      <c r="D62" s="51"/>
      <c r="E62" s="51"/>
      <c r="F62" s="51"/>
      <c r="G62" s="51"/>
      <c r="H62" s="51"/>
      <c r="I62" s="51"/>
      <c r="J62" s="51"/>
      <c r="K62" s="51"/>
      <c r="L62" s="51"/>
      <c r="M62" s="51"/>
      <c r="N62" s="79">
        <f t="shared" ref="N62:N71" si="13">SUM(B62:M62)</f>
        <v>9274.14</v>
      </c>
      <c r="O62" s="286">
        <f t="shared" ref="O62:O72" si="14">N62/P62</f>
        <v>0.13281824196786859</v>
      </c>
      <c r="P62" s="51">
        <f>+'budget entry'!B82</f>
        <v>69825.8</v>
      </c>
      <c r="Q62" s="51">
        <v>65060</v>
      </c>
      <c r="R62" s="195"/>
      <c r="T62" s="51"/>
      <c r="U62" s="51"/>
      <c r="V62" s="64"/>
    </row>
    <row r="63" spans="1:29" x14ac:dyDescent="0.3">
      <c r="A63" s="78" t="s">
        <v>673</v>
      </c>
      <c r="B63" s="51"/>
      <c r="C63" s="51"/>
      <c r="D63" s="51"/>
      <c r="E63" s="51"/>
      <c r="F63" s="51"/>
      <c r="G63" s="51"/>
      <c r="H63" s="51"/>
      <c r="I63" s="51"/>
      <c r="J63" s="51"/>
      <c r="K63" s="51"/>
      <c r="L63" s="51"/>
      <c r="M63" s="51"/>
      <c r="N63" s="79">
        <f t="shared" si="13"/>
        <v>0</v>
      </c>
      <c r="O63" s="286">
        <f t="shared" si="14"/>
        <v>0</v>
      </c>
      <c r="P63" s="51">
        <f>+'budget entry'!B83</f>
        <v>2000</v>
      </c>
      <c r="Q63" s="51">
        <v>2000</v>
      </c>
      <c r="R63" s="195"/>
      <c r="T63" s="51"/>
      <c r="U63" s="51"/>
      <c r="V63" s="64"/>
    </row>
    <row r="64" spans="1:29" x14ac:dyDescent="0.3">
      <c r="A64" s="78" t="s">
        <v>497</v>
      </c>
      <c r="B64" s="51">
        <v>1403.61</v>
      </c>
      <c r="C64" s="51">
        <v>1403.03</v>
      </c>
      <c r="D64" s="51"/>
      <c r="E64" s="51"/>
      <c r="F64" s="51"/>
      <c r="G64" s="51"/>
      <c r="H64" s="51"/>
      <c r="I64" s="51"/>
      <c r="J64" s="51"/>
      <c r="K64" s="51"/>
      <c r="L64" s="51"/>
      <c r="M64" s="51"/>
      <c r="N64" s="79">
        <f t="shared" si="13"/>
        <v>2806.64</v>
      </c>
      <c r="O64" s="286">
        <f t="shared" si="14"/>
        <v>0.12498209135823765</v>
      </c>
      <c r="P64" s="51">
        <f>+'budget entry'!B84+'budget entry'!B85+'budget entry'!B86</f>
        <v>22456.337299999999</v>
      </c>
      <c r="Q64" s="51">
        <f>980+13272+813+7710</f>
        <v>22775</v>
      </c>
      <c r="R64" s="195" t="s">
        <v>15</v>
      </c>
      <c r="T64" s="51"/>
      <c r="U64" s="51"/>
      <c r="V64" s="64"/>
      <c r="AB64" s="463"/>
      <c r="AC64" s="463"/>
    </row>
    <row r="65" spans="1:29" x14ac:dyDescent="0.3">
      <c r="A65" s="78" t="s">
        <v>470</v>
      </c>
      <c r="B65" s="51">
        <v>498.63</v>
      </c>
      <c r="C65" s="51">
        <v>2994.43</v>
      </c>
      <c r="D65" s="51"/>
      <c r="E65" s="51"/>
      <c r="F65" s="51"/>
      <c r="G65" s="51"/>
      <c r="H65" s="51"/>
      <c r="I65" s="51"/>
      <c r="J65" s="51"/>
      <c r="K65" s="51"/>
      <c r="L65" s="51"/>
      <c r="M65" s="51"/>
      <c r="N65" s="79">
        <f t="shared" si="13"/>
        <v>3493.06</v>
      </c>
      <c r="O65" s="286">
        <f t="shared" si="14"/>
        <v>0.29108833333333334</v>
      </c>
      <c r="P65" s="51">
        <f>+'budget entry'!B87</f>
        <v>12000</v>
      </c>
      <c r="Q65" s="51">
        <v>12000</v>
      </c>
      <c r="R65" s="195"/>
      <c r="T65" s="51"/>
      <c r="U65" s="51"/>
      <c r="V65" s="64"/>
    </row>
    <row r="66" spans="1:29" x14ac:dyDescent="0.3">
      <c r="A66" s="78" t="s">
        <v>471</v>
      </c>
      <c r="B66" s="51"/>
      <c r="C66" s="51">
        <v>21.97</v>
      </c>
      <c r="D66" s="51"/>
      <c r="E66" s="51"/>
      <c r="F66" s="51"/>
      <c r="G66" s="51"/>
      <c r="H66" s="51"/>
      <c r="I66" s="51"/>
      <c r="J66" s="51"/>
      <c r="K66" s="51"/>
      <c r="L66" s="51"/>
      <c r="M66" s="51"/>
      <c r="N66" s="79">
        <f t="shared" si="13"/>
        <v>21.97</v>
      </c>
      <c r="O66" s="286">
        <f t="shared" si="14"/>
        <v>7.3233333333333327E-3</v>
      </c>
      <c r="P66" s="51">
        <f>+'budget entry'!B88</f>
        <v>3000</v>
      </c>
      <c r="Q66" s="51">
        <v>3000</v>
      </c>
      <c r="R66" s="195"/>
      <c r="T66" s="51"/>
      <c r="U66" s="51"/>
      <c r="V66" s="64"/>
    </row>
    <row r="67" spans="1:29" x14ac:dyDescent="0.3">
      <c r="A67" s="78" t="s">
        <v>414</v>
      </c>
      <c r="B67" s="51"/>
      <c r="C67" s="51"/>
      <c r="D67" s="51"/>
      <c r="E67" s="51"/>
      <c r="F67" s="51"/>
      <c r="G67" s="51"/>
      <c r="H67" s="51"/>
      <c r="I67" s="51"/>
      <c r="J67" s="51"/>
      <c r="K67" s="51"/>
      <c r="L67" s="51"/>
      <c r="M67" s="51"/>
      <c r="N67" s="79">
        <f t="shared" si="13"/>
        <v>0</v>
      </c>
      <c r="O67" s="286">
        <f t="shared" si="14"/>
        <v>0</v>
      </c>
      <c r="P67" s="51">
        <f>+'budget entry'!B89</f>
        <v>5000</v>
      </c>
      <c r="Q67" s="51">
        <v>5000</v>
      </c>
      <c r="R67" s="195"/>
      <c r="T67" s="51"/>
      <c r="U67" s="51"/>
      <c r="V67" s="64"/>
    </row>
    <row r="68" spans="1:29" x14ac:dyDescent="0.3">
      <c r="A68" s="78" t="s">
        <v>42</v>
      </c>
      <c r="B68" s="51"/>
      <c r="C68" s="51">
        <v>3600</v>
      </c>
      <c r="D68" s="51"/>
      <c r="E68" s="51"/>
      <c r="F68" s="51"/>
      <c r="G68" s="51"/>
      <c r="H68" s="51"/>
      <c r="I68" s="51"/>
      <c r="J68" s="51"/>
      <c r="K68" s="51"/>
      <c r="L68" s="51"/>
      <c r="M68" s="51"/>
      <c r="N68" s="79">
        <f t="shared" si="13"/>
        <v>3600</v>
      </c>
      <c r="O68" s="286">
        <f>N68/P68</f>
        <v>0.45</v>
      </c>
      <c r="P68" s="51">
        <f>+'budget entry'!B90</f>
        <v>8000</v>
      </c>
      <c r="Q68" s="51">
        <v>8000</v>
      </c>
      <c r="R68" s="195"/>
      <c r="T68" s="51"/>
      <c r="U68" s="51"/>
      <c r="V68" s="64"/>
    </row>
    <row r="69" spans="1:29" x14ac:dyDescent="0.3">
      <c r="A69" s="78" t="s">
        <v>472</v>
      </c>
      <c r="B69" s="51"/>
      <c r="C69" s="51"/>
      <c r="D69" s="51"/>
      <c r="E69" s="51"/>
      <c r="F69" s="51"/>
      <c r="G69" s="51"/>
      <c r="H69" s="51"/>
      <c r="I69" s="51"/>
      <c r="J69" s="51"/>
      <c r="K69" s="51"/>
      <c r="L69" s="51"/>
      <c r="M69" s="51"/>
      <c r="N69" s="79">
        <f t="shared" si="13"/>
        <v>0</v>
      </c>
      <c r="O69" s="286">
        <f t="shared" si="14"/>
        <v>0</v>
      </c>
      <c r="P69" s="51">
        <f>+'budget entry'!B91</f>
        <v>4800</v>
      </c>
      <c r="Q69" s="51">
        <v>4800</v>
      </c>
      <c r="R69" s="195"/>
      <c r="T69" s="51"/>
      <c r="U69" s="51"/>
      <c r="V69" s="64"/>
    </row>
    <row r="70" spans="1:29" x14ac:dyDescent="0.3">
      <c r="A70" s="78" t="s">
        <v>475</v>
      </c>
      <c r="B70" s="51">
        <f>680+66.66</f>
        <v>746.66</v>
      </c>
      <c r="C70" s="51">
        <f>-680+43.05+57.12</f>
        <v>-579.83000000000004</v>
      </c>
      <c r="D70" s="51"/>
      <c r="E70" s="51"/>
      <c r="F70" s="51"/>
      <c r="G70" s="51"/>
      <c r="H70" s="51"/>
      <c r="I70" s="51"/>
      <c r="J70" s="51"/>
      <c r="K70" s="51"/>
      <c r="L70" s="51"/>
      <c r="M70" s="51"/>
      <c r="N70" s="79">
        <f t="shared" si="13"/>
        <v>166.82999999999993</v>
      </c>
      <c r="O70" s="286">
        <f t="shared" si="14"/>
        <v>1.6682999999999993E-2</v>
      </c>
      <c r="P70" s="51">
        <f>+'budget entry'!B92</f>
        <v>10000</v>
      </c>
      <c r="Q70" s="51">
        <v>10000</v>
      </c>
      <c r="R70" s="195" t="s">
        <v>572</v>
      </c>
      <c r="T70" s="51"/>
      <c r="U70" s="51"/>
      <c r="V70" s="76"/>
      <c r="Y70" s="195"/>
    </row>
    <row r="71" spans="1:29" x14ac:dyDescent="0.3">
      <c r="A71" s="78" t="s">
        <v>474</v>
      </c>
      <c r="B71" s="63">
        <v>5860.7</v>
      </c>
      <c r="C71" s="63">
        <v>5044.96</v>
      </c>
      <c r="D71" s="63"/>
      <c r="E71" s="63"/>
      <c r="F71" s="63"/>
      <c r="G71" s="63"/>
      <c r="H71" s="63"/>
      <c r="I71" s="63"/>
      <c r="J71" s="63"/>
      <c r="K71" s="63"/>
      <c r="L71" s="63"/>
      <c r="M71" s="63"/>
      <c r="N71" s="103">
        <f t="shared" si="13"/>
        <v>10905.66</v>
      </c>
      <c r="O71" s="286">
        <f t="shared" si="14"/>
        <v>9.5708180118827174E-2</v>
      </c>
      <c r="P71" s="63">
        <f>+'budget entry'!B93</f>
        <v>113947</v>
      </c>
      <c r="Q71" s="63">
        <v>108139</v>
      </c>
      <c r="R71" s="195"/>
      <c r="T71" s="63"/>
      <c r="U71" s="63"/>
      <c r="V71" s="150"/>
    </row>
    <row r="72" spans="1:29" x14ac:dyDescent="0.3">
      <c r="A72" s="60" t="s">
        <v>576</v>
      </c>
      <c r="B72" s="60">
        <f t="shared" ref="B72:N72" si="15">SUM(B62:B71)</f>
        <v>13146.669999999998</v>
      </c>
      <c r="C72" s="60">
        <f>SUM(C62:C71)</f>
        <v>17121.629999999997</v>
      </c>
      <c r="D72" s="60">
        <f>SUM(D62:D71)</f>
        <v>0</v>
      </c>
      <c r="E72" s="60">
        <f t="shared" si="15"/>
        <v>0</v>
      </c>
      <c r="F72" s="60">
        <f t="shared" si="15"/>
        <v>0</v>
      </c>
      <c r="G72" s="60">
        <f t="shared" si="15"/>
        <v>0</v>
      </c>
      <c r="H72" s="60">
        <f t="shared" si="15"/>
        <v>0</v>
      </c>
      <c r="I72" s="60">
        <f t="shared" si="15"/>
        <v>0</v>
      </c>
      <c r="J72" s="60">
        <f t="shared" si="15"/>
        <v>0</v>
      </c>
      <c r="K72" s="60">
        <f t="shared" si="15"/>
        <v>0</v>
      </c>
      <c r="L72" s="60">
        <f t="shared" si="15"/>
        <v>0</v>
      </c>
      <c r="M72" s="60">
        <f t="shared" si="15"/>
        <v>0</v>
      </c>
      <c r="N72" s="60">
        <f t="shared" si="15"/>
        <v>30268.3</v>
      </c>
      <c r="O72" s="286">
        <f t="shared" si="14"/>
        <v>0.12057683950778569</v>
      </c>
      <c r="P72" s="60">
        <f>SUM(P62:P71)</f>
        <v>251029.1373</v>
      </c>
      <c r="Q72" s="60">
        <f>SUM(Q62:Q71)</f>
        <v>240774</v>
      </c>
      <c r="R72" s="195"/>
      <c r="T72" s="60"/>
      <c r="U72" s="60"/>
      <c r="V72" s="110"/>
    </row>
    <row r="73" spans="1:29" ht="9" customHeight="1" x14ac:dyDescent="0.3">
      <c r="A73" s="51"/>
      <c r="B73" s="375"/>
      <c r="C73" s="375"/>
      <c r="D73" s="375"/>
      <c r="E73" s="375"/>
      <c r="F73" s="375"/>
      <c r="G73" s="375"/>
      <c r="H73" s="375"/>
      <c r="I73" s="375"/>
      <c r="J73" s="375"/>
      <c r="K73" s="375"/>
      <c r="L73" s="375"/>
      <c r="M73" s="375"/>
      <c r="N73" s="375"/>
      <c r="O73" s="346"/>
      <c r="P73" s="375"/>
      <c r="Q73" s="51"/>
      <c r="R73" s="374"/>
      <c r="S73" s="374"/>
      <c r="T73" s="375"/>
      <c r="U73" s="375"/>
      <c r="V73" s="79"/>
    </row>
    <row r="74" spans="1:29" x14ac:dyDescent="0.3">
      <c r="A74" s="128" t="s">
        <v>20</v>
      </c>
      <c r="B74" s="51"/>
      <c r="C74" s="51"/>
      <c r="D74" s="51"/>
      <c r="E74" s="51"/>
      <c r="F74" s="51"/>
      <c r="G74" s="51"/>
      <c r="H74" s="51"/>
      <c r="I74" s="51"/>
      <c r="J74" s="51"/>
      <c r="K74" s="51"/>
      <c r="L74" s="51"/>
      <c r="M74" s="51"/>
      <c r="N74" s="51"/>
      <c r="O74" s="293"/>
      <c r="P74" s="51"/>
      <c r="Q74" s="51"/>
      <c r="R74" s="195"/>
      <c r="T74" s="51"/>
      <c r="U74" s="51"/>
      <c r="V74" s="221"/>
    </row>
    <row r="75" spans="1:29" x14ac:dyDescent="0.3">
      <c r="A75" s="78" t="s">
        <v>1</v>
      </c>
      <c r="B75" s="78">
        <v>16308.5</v>
      </c>
      <c r="C75" s="78">
        <v>16418.939999999999</v>
      </c>
      <c r="D75" s="78"/>
      <c r="E75" s="78"/>
      <c r="F75" s="78"/>
      <c r="G75" s="78"/>
      <c r="H75" s="78"/>
      <c r="I75" s="78"/>
      <c r="J75" s="78"/>
      <c r="K75" s="78"/>
      <c r="L75" s="78"/>
      <c r="M75" s="78"/>
      <c r="N75" s="79">
        <f t="shared" ref="N75:N81" si="16">SUM(B75:M75)</f>
        <v>32727.439999999999</v>
      </c>
      <c r="O75" s="286">
        <f t="shared" ref="O75:O81" si="17">N75/P75</f>
        <v>0.16723099406240099</v>
      </c>
      <c r="P75" s="78">
        <f>+'budget entry'!B97</f>
        <v>195702</v>
      </c>
      <c r="Q75" s="78">
        <f>212744-18336</f>
        <v>194408</v>
      </c>
      <c r="R75" s="195"/>
      <c r="S75" s="400"/>
      <c r="T75" s="78"/>
      <c r="U75" s="78"/>
      <c r="V75" s="78"/>
    </row>
    <row r="76" spans="1:29" x14ac:dyDescent="0.3">
      <c r="A76" s="78" t="s">
        <v>673</v>
      </c>
      <c r="B76" s="78"/>
      <c r="C76" s="78"/>
      <c r="D76" s="78"/>
      <c r="E76" s="78"/>
      <c r="F76" s="78"/>
      <c r="G76" s="78"/>
      <c r="H76" s="78"/>
      <c r="I76" s="78"/>
      <c r="J76" s="78"/>
      <c r="K76" s="78"/>
      <c r="L76" s="78"/>
      <c r="M76" s="78"/>
      <c r="N76" s="79">
        <f t="shared" si="16"/>
        <v>0</v>
      </c>
      <c r="O76" s="286">
        <f t="shared" si="17"/>
        <v>0</v>
      </c>
      <c r="P76" s="78">
        <f>+'budget entry'!B98</f>
        <v>20000</v>
      </c>
      <c r="Q76" s="78">
        <v>20000</v>
      </c>
      <c r="R76" s="195"/>
      <c r="T76" s="78"/>
      <c r="U76" s="78"/>
      <c r="V76" s="78"/>
    </row>
    <row r="77" spans="1:29" x14ac:dyDescent="0.3">
      <c r="A77" s="78" t="s">
        <v>497</v>
      </c>
      <c r="B77" s="78">
        <v>5451.48</v>
      </c>
      <c r="C77" s="78">
        <v>5475.61</v>
      </c>
      <c r="D77" s="78"/>
      <c r="E77" s="78"/>
      <c r="F77" s="78"/>
      <c r="G77" s="78"/>
      <c r="H77" s="78"/>
      <c r="I77" s="78"/>
      <c r="J77" s="78"/>
      <c r="K77" s="78"/>
      <c r="L77" s="78"/>
      <c r="M77" s="78"/>
      <c r="N77" s="79">
        <f t="shared" si="16"/>
        <v>10927.09</v>
      </c>
      <c r="O77" s="286">
        <f t="shared" si="17"/>
        <v>0.14181653742675279</v>
      </c>
      <c r="P77" s="77">
        <f>+'budget entry'!B99+'budget entry'!B100+'budget entry'!B101</f>
        <v>77050.887000000002</v>
      </c>
      <c r="Q77" s="78">
        <f>3375+43400+2659+38544</f>
        <v>87978</v>
      </c>
      <c r="R77" s="195" t="s">
        <v>15</v>
      </c>
      <c r="T77" s="78"/>
      <c r="U77" s="78"/>
      <c r="V77" s="78"/>
      <c r="AB77" s="463"/>
      <c r="AC77" s="463"/>
    </row>
    <row r="78" spans="1:29" x14ac:dyDescent="0.3">
      <c r="A78" s="79" t="s">
        <v>43</v>
      </c>
      <c r="B78" s="77"/>
      <c r="C78" s="77">
        <f>52.16+472.85</f>
        <v>525.01</v>
      </c>
      <c r="D78" s="77"/>
      <c r="E78" s="77"/>
      <c r="F78" s="77"/>
      <c r="G78" s="77"/>
      <c r="H78" s="77"/>
      <c r="I78" s="77"/>
      <c r="J78" s="77"/>
      <c r="K78" s="77"/>
      <c r="L78" s="77"/>
      <c r="M78" s="77"/>
      <c r="N78" s="79">
        <f t="shared" si="16"/>
        <v>525.01</v>
      </c>
      <c r="O78" s="286">
        <f t="shared" si="17"/>
        <v>4.7728181818181815E-2</v>
      </c>
      <c r="P78" s="77">
        <f>+'budget entry'!B102</f>
        <v>11000</v>
      </c>
      <c r="Q78" s="77">
        <v>11000</v>
      </c>
      <c r="R78" s="195"/>
      <c r="T78" s="77"/>
      <c r="U78" s="77"/>
      <c r="V78" s="78"/>
    </row>
    <row r="79" spans="1:29" x14ac:dyDescent="0.3">
      <c r="A79" s="79" t="s">
        <v>476</v>
      </c>
      <c r="B79" s="77"/>
      <c r="C79" s="77">
        <v>217.02</v>
      </c>
      <c r="D79" s="77"/>
      <c r="E79" s="77"/>
      <c r="F79" s="77"/>
      <c r="G79" s="77"/>
      <c r="H79" s="77"/>
      <c r="I79" s="77"/>
      <c r="J79" s="77"/>
      <c r="K79" s="77"/>
      <c r="L79" s="77"/>
      <c r="M79" s="77"/>
      <c r="N79" s="79">
        <f t="shared" si="16"/>
        <v>217.02</v>
      </c>
      <c r="O79" s="286">
        <f t="shared" si="17"/>
        <v>3.1002857142857145E-2</v>
      </c>
      <c r="P79" s="57">
        <f>+'budget entry'!B103</f>
        <v>7000</v>
      </c>
      <c r="Q79" s="77">
        <v>5000</v>
      </c>
      <c r="R79" s="195" t="s">
        <v>573</v>
      </c>
      <c r="T79" s="77"/>
      <c r="U79" s="77"/>
      <c r="V79" s="78"/>
    </row>
    <row r="80" spans="1:29" x14ac:dyDescent="0.3">
      <c r="A80" s="79" t="s">
        <v>45</v>
      </c>
      <c r="B80" s="77"/>
      <c r="C80" s="77">
        <v>17.54</v>
      </c>
      <c r="D80" s="77"/>
      <c r="E80" s="77"/>
      <c r="F80" s="77"/>
      <c r="G80" s="77"/>
      <c r="H80" s="77"/>
      <c r="I80" s="77"/>
      <c r="J80" s="77"/>
      <c r="K80" s="77"/>
      <c r="L80" s="77"/>
      <c r="M80" s="77"/>
      <c r="N80" s="79">
        <f t="shared" si="16"/>
        <v>17.54</v>
      </c>
      <c r="O80" s="286">
        <f t="shared" si="17"/>
        <v>3.508E-2</v>
      </c>
      <c r="P80" s="77">
        <f>+'budget entry'!B104</f>
        <v>500</v>
      </c>
      <c r="Q80" s="77">
        <v>500</v>
      </c>
      <c r="R80" s="195"/>
      <c r="T80" s="77"/>
      <c r="U80" s="77"/>
      <c r="V80" s="79"/>
    </row>
    <row r="81" spans="1:29" x14ac:dyDescent="0.3">
      <c r="A81" s="79" t="s">
        <v>74</v>
      </c>
      <c r="B81" s="81"/>
      <c r="C81" s="81"/>
      <c r="D81" s="81"/>
      <c r="E81" s="81"/>
      <c r="F81" s="81"/>
      <c r="G81" s="81"/>
      <c r="H81" s="81"/>
      <c r="I81" s="81"/>
      <c r="J81" s="81"/>
      <c r="K81" s="81"/>
      <c r="L81" s="81"/>
      <c r="M81" s="81"/>
      <c r="N81" s="103">
        <f t="shared" si="16"/>
        <v>0</v>
      </c>
      <c r="O81" s="286">
        <f t="shared" si="17"/>
        <v>0</v>
      </c>
      <c r="P81" s="81">
        <f>+'budget entry'!B105</f>
        <v>4000</v>
      </c>
      <c r="Q81" s="81">
        <v>2000</v>
      </c>
      <c r="R81" s="195"/>
      <c r="T81" s="81"/>
      <c r="U81" s="81"/>
      <c r="V81" s="103"/>
    </row>
    <row r="82" spans="1:29" x14ac:dyDescent="0.3">
      <c r="A82" s="60" t="s">
        <v>20</v>
      </c>
      <c r="B82" s="60">
        <f>SUM(B75:B81)</f>
        <v>21759.98</v>
      </c>
      <c r="C82" s="60">
        <f>SUM(C75:C81)</f>
        <v>22654.12</v>
      </c>
      <c r="D82" s="60">
        <f>SUM(D75:D81)</f>
        <v>0</v>
      </c>
      <c r="E82" s="60">
        <f>SUM(E75:E81)</f>
        <v>0</v>
      </c>
      <c r="F82" s="60">
        <f t="shared" ref="F82:M82" si="18">SUM(F75:F81)</f>
        <v>0</v>
      </c>
      <c r="G82" s="60">
        <f t="shared" si="18"/>
        <v>0</v>
      </c>
      <c r="H82" s="60">
        <f t="shared" si="18"/>
        <v>0</v>
      </c>
      <c r="I82" s="60">
        <f t="shared" si="18"/>
        <v>0</v>
      </c>
      <c r="J82" s="60">
        <f t="shared" si="18"/>
        <v>0</v>
      </c>
      <c r="K82" s="60">
        <f t="shared" si="18"/>
        <v>0</v>
      </c>
      <c r="L82" s="60">
        <f t="shared" si="18"/>
        <v>0</v>
      </c>
      <c r="M82" s="60">
        <f t="shared" si="18"/>
        <v>0</v>
      </c>
      <c r="N82" s="60">
        <f>SUM(N75:N81)</f>
        <v>44414.1</v>
      </c>
      <c r="O82" s="286">
        <f>N82/P82</f>
        <v>0.14088403891444776</v>
      </c>
      <c r="P82" s="60">
        <f>SUM(P75:P81)</f>
        <v>315252.88699999999</v>
      </c>
      <c r="Q82" s="60">
        <f>SUM(Q75:Q81)</f>
        <v>320886</v>
      </c>
      <c r="R82" s="195"/>
      <c r="T82" s="60"/>
      <c r="U82" s="60"/>
      <c r="V82" s="2"/>
    </row>
    <row r="83" spans="1:29" ht="6" customHeight="1" x14ac:dyDescent="0.3">
      <c r="A83" s="51"/>
      <c r="B83" s="375"/>
      <c r="C83" s="375"/>
      <c r="D83" s="375"/>
      <c r="E83" s="375"/>
      <c r="F83" s="375"/>
      <c r="G83" s="375"/>
      <c r="H83" s="375"/>
      <c r="I83" s="375"/>
      <c r="J83" s="375"/>
      <c r="K83" s="375"/>
      <c r="L83" s="375"/>
      <c r="M83" s="375"/>
      <c r="N83" s="375"/>
      <c r="O83" s="346"/>
      <c r="P83" s="375"/>
      <c r="Q83" s="51"/>
      <c r="R83" s="374"/>
      <c r="S83" s="374"/>
      <c r="T83" s="375"/>
      <c r="U83" s="375"/>
      <c r="V83" s="79"/>
    </row>
    <row r="84" spans="1:29" x14ac:dyDescent="0.3">
      <c r="A84" s="128" t="s">
        <v>131</v>
      </c>
      <c r="B84" s="51"/>
      <c r="C84" s="51"/>
      <c r="D84" s="51"/>
      <c r="E84" s="51"/>
      <c r="F84" s="51"/>
      <c r="G84" s="51"/>
      <c r="H84" s="51"/>
      <c r="I84" s="51"/>
      <c r="J84" s="51"/>
      <c r="K84" s="51"/>
      <c r="L84" s="51"/>
      <c r="M84" s="51"/>
      <c r="N84" s="51"/>
      <c r="O84" s="293"/>
      <c r="P84" s="51"/>
      <c r="Q84" s="51"/>
      <c r="R84" s="195"/>
      <c r="T84" s="51"/>
      <c r="U84" s="51"/>
      <c r="V84" s="221"/>
    </row>
    <row r="85" spans="1:29" x14ac:dyDescent="0.3">
      <c r="A85" s="78" t="s">
        <v>1</v>
      </c>
      <c r="B85" s="51">
        <v>4076.35</v>
      </c>
      <c r="C85" s="51">
        <v>4076.35</v>
      </c>
      <c r="D85" s="51"/>
      <c r="E85" s="51"/>
      <c r="F85" s="51"/>
      <c r="G85" s="51"/>
      <c r="H85" s="51"/>
      <c r="I85" s="51"/>
      <c r="J85" s="51"/>
      <c r="K85" s="51"/>
      <c r="L85" s="51"/>
      <c r="M85" s="51"/>
      <c r="N85" s="79">
        <f t="shared" ref="N85:N93" si="19">SUM(B85:M85)</f>
        <v>8152.7</v>
      </c>
      <c r="O85" s="286">
        <f t="shared" ref="O85:O93" si="20">N85/P85</f>
        <v>0.16665372035977105</v>
      </c>
      <c r="P85" s="51">
        <f>+'budget entry'!B109</f>
        <v>48920</v>
      </c>
      <c r="Q85" s="51">
        <v>48920</v>
      </c>
      <c r="R85" s="195"/>
      <c r="T85" s="51"/>
      <c r="U85" s="51"/>
      <c r="V85" s="78"/>
    </row>
    <row r="86" spans="1:29" x14ac:dyDescent="0.3">
      <c r="A86" s="78" t="s">
        <v>213</v>
      </c>
      <c r="B86" s="51"/>
      <c r="C86" s="51"/>
      <c r="D86" s="51"/>
      <c r="E86" s="51"/>
      <c r="F86" s="51"/>
      <c r="G86" s="51"/>
      <c r="H86" s="51"/>
      <c r="I86" s="51"/>
      <c r="J86" s="51"/>
      <c r="K86" s="51"/>
      <c r="L86" s="51"/>
      <c r="M86" s="51"/>
      <c r="N86" s="79">
        <f t="shared" si="19"/>
        <v>0</v>
      </c>
      <c r="O86" s="286">
        <f t="shared" si="20"/>
        <v>0</v>
      </c>
      <c r="P86" s="51">
        <f>+'budget entry'!B110</f>
        <v>5000</v>
      </c>
      <c r="Q86" s="51">
        <v>5000</v>
      </c>
      <c r="R86" s="195"/>
      <c r="T86" s="51"/>
      <c r="U86" s="51"/>
      <c r="V86" s="78"/>
    </row>
    <row r="87" spans="1:29" x14ac:dyDescent="0.3">
      <c r="A87" s="78" t="s">
        <v>497</v>
      </c>
      <c r="B87" s="51">
        <v>1313.52</v>
      </c>
      <c r="C87" s="51">
        <v>1313.52</v>
      </c>
      <c r="D87" s="51"/>
      <c r="E87" s="51"/>
      <c r="F87" s="51"/>
      <c r="G87" s="51"/>
      <c r="H87" s="51"/>
      <c r="I87" s="51"/>
      <c r="J87" s="51"/>
      <c r="K87" s="51"/>
      <c r="L87" s="51"/>
      <c r="M87" s="51"/>
      <c r="N87" s="79">
        <f t="shared" si="19"/>
        <v>2627.04</v>
      </c>
      <c r="O87" s="286">
        <f t="shared" si="20"/>
        <v>0.14668825730079849</v>
      </c>
      <c r="P87" s="51">
        <f>+'budget entry'!B111+'budget entry'!B112+'budget entry'!B113</f>
        <v>17909</v>
      </c>
      <c r="Q87" s="51">
        <f>709+10000+612+6200</f>
        <v>17521</v>
      </c>
      <c r="R87" s="195" t="s">
        <v>15</v>
      </c>
      <c r="T87" s="51"/>
      <c r="U87" s="51"/>
      <c r="V87" s="78"/>
      <c r="AB87" s="463"/>
      <c r="AC87" s="463"/>
    </row>
    <row r="88" spans="1:29" x14ac:dyDescent="0.3">
      <c r="A88" s="78" t="s">
        <v>0</v>
      </c>
      <c r="B88" s="51">
        <v>197.59</v>
      </c>
      <c r="C88" s="51">
        <v>2.34</v>
      </c>
      <c r="D88" s="51"/>
      <c r="E88" s="51"/>
      <c r="F88" s="51"/>
      <c r="G88" s="51"/>
      <c r="H88" s="51"/>
      <c r="I88" s="51"/>
      <c r="J88" s="51"/>
      <c r="K88" s="51"/>
      <c r="L88" s="51"/>
      <c r="M88" s="51"/>
      <c r="N88" s="79">
        <f t="shared" si="19"/>
        <v>199.93</v>
      </c>
      <c r="O88" s="286">
        <f t="shared" si="20"/>
        <v>9.9964999999999998E-2</v>
      </c>
      <c r="P88" s="51">
        <f>+'budget entry'!B114</f>
        <v>2000</v>
      </c>
      <c r="Q88" s="51">
        <v>500</v>
      </c>
      <c r="R88" s="195"/>
      <c r="T88" s="51"/>
      <c r="U88" s="51"/>
      <c r="V88" s="78"/>
    </row>
    <row r="89" spans="1:29" x14ac:dyDescent="0.3">
      <c r="A89" s="78" t="s">
        <v>57</v>
      </c>
      <c r="B89" s="51"/>
      <c r="C89" s="51"/>
      <c r="D89" s="51"/>
      <c r="E89" s="51"/>
      <c r="F89" s="51"/>
      <c r="G89" s="51"/>
      <c r="H89" s="51"/>
      <c r="I89" s="51"/>
      <c r="J89" s="51"/>
      <c r="K89" s="51"/>
      <c r="L89" s="51"/>
      <c r="M89" s="51"/>
      <c r="N89" s="79">
        <f t="shared" si="19"/>
        <v>0</v>
      </c>
      <c r="O89" s="286">
        <f t="shared" si="20"/>
        <v>0</v>
      </c>
      <c r="P89" s="51">
        <f>+'budget entry'!B115</f>
        <v>2000</v>
      </c>
      <c r="Q89" s="51">
        <v>1000</v>
      </c>
      <c r="R89" s="195"/>
      <c r="T89" s="51"/>
      <c r="U89" s="51"/>
      <c r="V89" s="78"/>
    </row>
    <row r="90" spans="1:29" x14ac:dyDescent="0.3">
      <c r="A90" s="78" t="s">
        <v>132</v>
      </c>
      <c r="B90" s="51"/>
      <c r="C90" s="51"/>
      <c r="D90" s="51"/>
      <c r="E90" s="51"/>
      <c r="F90" s="51"/>
      <c r="G90" s="51"/>
      <c r="H90" s="51"/>
      <c r="I90" s="51"/>
      <c r="J90" s="51"/>
      <c r="K90" s="51"/>
      <c r="L90" s="51"/>
      <c r="M90" s="51"/>
      <c r="N90" s="79">
        <f t="shared" si="19"/>
        <v>0</v>
      </c>
      <c r="O90" s="286">
        <f t="shared" si="20"/>
        <v>0</v>
      </c>
      <c r="P90" s="51">
        <f>+'budget entry'!B116</f>
        <v>200</v>
      </c>
      <c r="Q90" s="51">
        <v>200</v>
      </c>
      <c r="R90" s="195"/>
      <c r="T90" s="51"/>
      <c r="U90" s="51"/>
      <c r="V90" s="78"/>
    </row>
    <row r="91" spans="1:29" x14ac:dyDescent="0.3">
      <c r="A91" s="78" t="s">
        <v>7</v>
      </c>
      <c r="B91" s="51">
        <v>174.78</v>
      </c>
      <c r="C91" s="51">
        <v>64</v>
      </c>
      <c r="D91" s="51"/>
      <c r="E91" s="51"/>
      <c r="F91" s="51"/>
      <c r="G91" s="51"/>
      <c r="H91" s="51"/>
      <c r="I91" s="51"/>
      <c r="J91" s="51"/>
      <c r="K91" s="51"/>
      <c r="L91" s="51"/>
      <c r="M91" s="51"/>
      <c r="N91" s="79">
        <f t="shared" si="19"/>
        <v>238.78</v>
      </c>
      <c r="O91" s="286">
        <f t="shared" si="20"/>
        <v>9.9491666666666673E-2</v>
      </c>
      <c r="P91" s="51">
        <f>+'budget entry'!B117</f>
        <v>2400</v>
      </c>
      <c r="Q91" s="51">
        <v>2400</v>
      </c>
      <c r="R91" s="195"/>
      <c r="T91" s="51"/>
      <c r="U91" s="51"/>
      <c r="V91" s="79"/>
    </row>
    <row r="92" spans="1:29" x14ac:dyDescent="0.3">
      <c r="A92" s="78" t="s">
        <v>574</v>
      </c>
      <c r="B92" s="51">
        <v>113.33</v>
      </c>
      <c r="C92" s="51"/>
      <c r="D92" s="51"/>
      <c r="E92" s="51"/>
      <c r="F92" s="51"/>
      <c r="G92" s="51"/>
      <c r="H92" s="51"/>
      <c r="I92" s="51"/>
      <c r="J92" s="51"/>
      <c r="K92" s="51"/>
      <c r="L92" s="51"/>
      <c r="M92" s="51"/>
      <c r="N92" s="79">
        <f t="shared" si="19"/>
        <v>113.33</v>
      </c>
      <c r="O92" s="286">
        <f t="shared" si="20"/>
        <v>2.9823684210526315E-2</v>
      </c>
      <c r="P92" s="51">
        <f>+'budget entry'!B118</f>
        <v>3800</v>
      </c>
      <c r="Q92" s="51">
        <v>500</v>
      </c>
      <c r="R92" s="195"/>
      <c r="T92" s="51"/>
      <c r="U92" s="51"/>
      <c r="V92" s="79"/>
    </row>
    <row r="93" spans="1:29" x14ac:dyDescent="0.3">
      <c r="A93" s="78" t="s">
        <v>133</v>
      </c>
      <c r="B93" s="63">
        <v>375.81</v>
      </c>
      <c r="C93" s="63">
        <v>196.11</v>
      </c>
      <c r="D93" s="63"/>
      <c r="E93" s="63"/>
      <c r="F93" s="63"/>
      <c r="G93" s="63"/>
      <c r="H93" s="63"/>
      <c r="I93" s="63"/>
      <c r="J93" s="63"/>
      <c r="K93" s="63"/>
      <c r="L93" s="63"/>
      <c r="M93" s="63"/>
      <c r="N93" s="103">
        <f t="shared" si="19"/>
        <v>571.92000000000007</v>
      </c>
      <c r="O93" s="286">
        <f t="shared" si="20"/>
        <v>0.16340571428571429</v>
      </c>
      <c r="P93" s="63">
        <f>+'budget entry'!B119</f>
        <v>3500</v>
      </c>
      <c r="Q93" s="63">
        <v>3300</v>
      </c>
      <c r="R93" s="195"/>
      <c r="T93" s="63"/>
      <c r="U93" s="63"/>
      <c r="V93" s="103"/>
    </row>
    <row r="94" spans="1:29" x14ac:dyDescent="0.3">
      <c r="A94" s="2" t="s">
        <v>540</v>
      </c>
      <c r="B94" s="2">
        <f t="shared" ref="B94:N94" si="21">SUM(B85:B93)</f>
        <v>6251.38</v>
      </c>
      <c r="C94" s="2">
        <f t="shared" si="21"/>
        <v>5652.32</v>
      </c>
      <c r="D94" s="2">
        <f t="shared" si="21"/>
        <v>0</v>
      </c>
      <c r="E94" s="2">
        <f t="shared" si="21"/>
        <v>0</v>
      </c>
      <c r="F94" s="2">
        <f t="shared" si="21"/>
        <v>0</v>
      </c>
      <c r="G94" s="2">
        <f t="shared" si="21"/>
        <v>0</v>
      </c>
      <c r="H94" s="2">
        <f t="shared" si="21"/>
        <v>0</v>
      </c>
      <c r="I94" s="2">
        <f t="shared" si="21"/>
        <v>0</v>
      </c>
      <c r="J94" s="2">
        <f t="shared" si="21"/>
        <v>0</v>
      </c>
      <c r="K94" s="2">
        <f t="shared" si="21"/>
        <v>0</v>
      </c>
      <c r="L94" s="2">
        <f t="shared" si="21"/>
        <v>0</v>
      </c>
      <c r="M94" s="2">
        <f t="shared" si="21"/>
        <v>0</v>
      </c>
      <c r="N94" s="2">
        <f t="shared" si="21"/>
        <v>11903.7</v>
      </c>
      <c r="O94" s="286">
        <f>N94/P94</f>
        <v>0.13885266362607754</v>
      </c>
      <c r="P94" s="2">
        <f>SUM(P85:P93)</f>
        <v>85729</v>
      </c>
      <c r="Q94" s="2">
        <f>SUM(Q85:Q93)</f>
        <v>79341</v>
      </c>
      <c r="R94" s="195"/>
      <c r="T94" s="2"/>
      <c r="U94" s="2"/>
      <c r="V94" s="2"/>
    </row>
    <row r="95" spans="1:29" ht="6.75" customHeight="1" x14ac:dyDescent="0.3">
      <c r="A95" s="51"/>
      <c r="B95" s="375"/>
      <c r="C95" s="375"/>
      <c r="D95" s="375"/>
      <c r="E95" s="375"/>
      <c r="F95" s="375"/>
      <c r="G95" s="375"/>
      <c r="H95" s="375"/>
      <c r="I95" s="375"/>
      <c r="J95" s="375"/>
      <c r="K95" s="375"/>
      <c r="L95" s="375"/>
      <c r="M95" s="375"/>
      <c r="N95" s="375"/>
      <c r="O95" s="346"/>
      <c r="P95" s="375"/>
      <c r="Q95" s="188"/>
      <c r="R95" s="374"/>
      <c r="S95" s="374"/>
      <c r="T95" s="375"/>
      <c r="U95" s="375"/>
      <c r="V95" s="79"/>
    </row>
    <row r="96" spans="1:29" x14ac:dyDescent="0.3">
      <c r="A96" s="128" t="s">
        <v>134</v>
      </c>
      <c r="B96" s="51"/>
      <c r="C96" s="51"/>
      <c r="D96" s="51"/>
      <c r="E96" s="51"/>
      <c r="F96" s="51"/>
      <c r="G96" s="51"/>
      <c r="H96" s="51"/>
      <c r="I96" s="51"/>
      <c r="J96" s="51"/>
      <c r="K96" s="51"/>
      <c r="L96" s="51"/>
      <c r="M96" s="51"/>
      <c r="N96" s="51"/>
      <c r="O96" s="293"/>
      <c r="P96" s="51"/>
      <c r="Q96" s="51"/>
      <c r="R96" s="195"/>
      <c r="T96" s="51"/>
      <c r="U96" s="51"/>
      <c r="V96" s="221"/>
    </row>
    <row r="97" spans="1:29" x14ac:dyDescent="0.3">
      <c r="A97" s="78" t="s">
        <v>1</v>
      </c>
      <c r="B97" s="51">
        <v>3900.01</v>
      </c>
      <c r="C97" s="51">
        <v>1952.29</v>
      </c>
      <c r="D97" s="51"/>
      <c r="E97" s="51"/>
      <c r="F97" s="51"/>
      <c r="G97" s="51"/>
      <c r="H97" s="51"/>
      <c r="I97" s="51"/>
      <c r="J97" s="51"/>
      <c r="K97" s="51"/>
      <c r="L97" s="51"/>
      <c r="M97" s="51"/>
      <c r="N97" s="79">
        <f t="shared" ref="N97:N106" si="22">SUM(B97:M97)</f>
        <v>5852.3</v>
      </c>
      <c r="O97" s="286">
        <f t="shared" ref="O97:O106" si="23">N97/P97</f>
        <v>0.13096495546703665</v>
      </c>
      <c r="P97" s="51">
        <f>+'budget entry'!B123</f>
        <v>44686</v>
      </c>
      <c r="Q97" s="51">
        <v>30168</v>
      </c>
      <c r="R97" s="195"/>
      <c r="T97" s="51"/>
      <c r="U97" s="51"/>
      <c r="V97" s="64"/>
    </row>
    <row r="98" spans="1:29" x14ac:dyDescent="0.3">
      <c r="A98" s="78" t="s">
        <v>497</v>
      </c>
      <c r="B98" s="51">
        <v>961.58</v>
      </c>
      <c r="C98" s="51">
        <v>654.67999999999995</v>
      </c>
      <c r="D98" s="51"/>
      <c r="E98" s="51"/>
      <c r="F98" s="51"/>
      <c r="G98" s="51"/>
      <c r="H98" s="51"/>
      <c r="I98" s="51"/>
      <c r="J98" s="51"/>
      <c r="K98" s="51"/>
      <c r="L98" s="51"/>
      <c r="M98" s="51"/>
      <c r="N98" s="79">
        <f t="shared" si="22"/>
        <v>1616.26</v>
      </c>
      <c r="O98" s="286">
        <f t="shared" si="23"/>
        <v>7.8596993146870894E-2</v>
      </c>
      <c r="P98" s="51">
        <f>+'budget entry'!B124+'budget entry'!B125+'budget entry'!B126</f>
        <v>20563.891</v>
      </c>
      <c r="Q98" s="51">
        <f>437+6154+377+7800</f>
        <v>14768</v>
      </c>
      <c r="R98" s="195" t="s">
        <v>15</v>
      </c>
      <c r="T98" s="51"/>
      <c r="U98" s="51"/>
      <c r="V98" s="64"/>
      <c r="AB98" s="463"/>
      <c r="AC98" s="463"/>
    </row>
    <row r="99" spans="1:29" x14ac:dyDescent="0.3">
      <c r="A99" s="78" t="s">
        <v>213</v>
      </c>
      <c r="B99" s="51">
        <v>2675.34</v>
      </c>
      <c r="C99" s="51"/>
      <c r="D99" s="51"/>
      <c r="E99" s="51"/>
      <c r="F99" s="51"/>
      <c r="G99" s="51"/>
      <c r="H99" s="51"/>
      <c r="I99" s="51"/>
      <c r="J99" s="51"/>
      <c r="K99" s="51"/>
      <c r="L99" s="51"/>
      <c r="M99" s="51"/>
      <c r="N99" s="79">
        <f t="shared" si="22"/>
        <v>2675.34</v>
      </c>
      <c r="O99" s="286">
        <f t="shared" si="23"/>
        <v>3.6057738961669097E-2</v>
      </c>
      <c r="P99" s="51">
        <f>+'budget entry'!B127</f>
        <v>74196</v>
      </c>
      <c r="Q99" s="51">
        <v>74196</v>
      </c>
      <c r="R99" s="197" t="s">
        <v>738</v>
      </c>
      <c r="T99" s="51"/>
      <c r="U99" s="51"/>
      <c r="V99" s="79"/>
    </row>
    <row r="100" spans="1:29" x14ac:dyDescent="0.3">
      <c r="A100" s="79" t="s">
        <v>10</v>
      </c>
      <c r="B100" s="51">
        <v>143.56</v>
      </c>
      <c r="C100" s="51"/>
      <c r="D100" s="51"/>
      <c r="E100" s="51"/>
      <c r="F100" s="51"/>
      <c r="G100" s="51"/>
      <c r="H100" s="51"/>
      <c r="I100" s="51"/>
      <c r="J100" s="51"/>
      <c r="K100" s="51"/>
      <c r="L100" s="51"/>
      <c r="M100" s="51"/>
      <c r="N100" s="79">
        <f t="shared" si="22"/>
        <v>143.56</v>
      </c>
      <c r="O100" s="286">
        <f t="shared" si="23"/>
        <v>4.7853333333333331E-2</v>
      </c>
      <c r="P100" s="51">
        <f>+'budget entry'!B128</f>
        <v>3000</v>
      </c>
      <c r="Q100" s="51">
        <v>3000</v>
      </c>
      <c r="R100" s="195"/>
      <c r="T100" s="51"/>
      <c r="U100" s="51"/>
      <c r="V100" s="78"/>
    </row>
    <row r="101" spans="1:29" x14ac:dyDescent="0.3">
      <c r="A101" s="78" t="s">
        <v>8</v>
      </c>
      <c r="B101" s="51">
        <v>114</v>
      </c>
      <c r="C101" s="51">
        <v>114</v>
      </c>
      <c r="D101" s="51"/>
      <c r="E101" s="51"/>
      <c r="F101" s="51"/>
      <c r="G101" s="51"/>
      <c r="H101" s="51"/>
      <c r="I101" s="51"/>
      <c r="J101" s="51"/>
      <c r="K101" s="51"/>
      <c r="L101" s="51"/>
      <c r="M101" s="51"/>
      <c r="N101" s="79">
        <f t="shared" si="22"/>
        <v>228</v>
      </c>
      <c r="O101" s="286">
        <f t="shared" si="23"/>
        <v>6.1621621621621624E-2</v>
      </c>
      <c r="P101" s="51">
        <f>+'budget entry'!B129</f>
        <v>3700</v>
      </c>
      <c r="Q101" s="51">
        <v>3700</v>
      </c>
      <c r="R101" s="195"/>
      <c r="T101" s="51"/>
      <c r="U101" s="51"/>
      <c r="V101" s="78"/>
    </row>
    <row r="102" spans="1:29" x14ac:dyDescent="0.3">
      <c r="A102" s="78" t="s">
        <v>46</v>
      </c>
      <c r="B102" s="51">
        <v>1663.5</v>
      </c>
      <c r="C102" s="51">
        <v>8193.1299999999992</v>
      </c>
      <c r="D102" s="51"/>
      <c r="E102" s="51"/>
      <c r="F102" s="51"/>
      <c r="G102" s="51"/>
      <c r="H102" s="51"/>
      <c r="I102" s="51"/>
      <c r="J102" s="51"/>
      <c r="K102" s="51"/>
      <c r="L102" s="51"/>
      <c r="M102" s="51"/>
      <c r="N102" s="79">
        <f t="shared" si="22"/>
        <v>9856.6299999999992</v>
      </c>
      <c r="O102" s="286">
        <f t="shared" si="23"/>
        <v>0.39426519999999998</v>
      </c>
      <c r="P102" s="51">
        <f>+'budget entry'!B130</f>
        <v>25000</v>
      </c>
      <c r="Q102" s="51">
        <v>25000</v>
      </c>
      <c r="R102" s="195"/>
      <c r="T102" s="51"/>
      <c r="U102" s="51"/>
      <c r="V102" s="79"/>
    </row>
    <row r="103" spans="1:29" x14ac:dyDescent="0.3">
      <c r="A103" s="78" t="s">
        <v>66</v>
      </c>
      <c r="B103" s="51">
        <v>1298.58</v>
      </c>
      <c r="C103" s="51">
        <v>1528.69</v>
      </c>
      <c r="D103" s="51"/>
      <c r="E103" s="51"/>
      <c r="F103" s="51"/>
      <c r="G103" s="51"/>
      <c r="H103" s="51"/>
      <c r="I103" s="51"/>
      <c r="J103" s="51"/>
      <c r="K103" s="51"/>
      <c r="L103" s="51"/>
      <c r="M103" s="51"/>
      <c r="N103" s="79">
        <f t="shared" si="22"/>
        <v>2827.27</v>
      </c>
      <c r="O103" s="286">
        <f t="shared" si="23"/>
        <v>0.1413635</v>
      </c>
      <c r="P103" s="51">
        <f>+'budget entry'!B131</f>
        <v>20000</v>
      </c>
      <c r="Q103" s="51">
        <v>22000</v>
      </c>
      <c r="R103" s="195"/>
      <c r="T103" s="51"/>
      <c r="U103" s="51"/>
      <c r="V103" s="79"/>
      <c r="AB103" s="353">
        <f>+P7+'budget entry'!B6</f>
        <v>7685820</v>
      </c>
    </row>
    <row r="104" spans="1:29" x14ac:dyDescent="0.3">
      <c r="A104" s="78" t="s">
        <v>670</v>
      </c>
      <c r="B104" s="51"/>
      <c r="C104" s="51">
        <v>1134.57</v>
      </c>
      <c r="D104" s="51"/>
      <c r="E104" s="51"/>
      <c r="F104" s="51"/>
      <c r="G104" s="51"/>
      <c r="H104" s="51"/>
      <c r="I104" s="51"/>
      <c r="J104" s="51"/>
      <c r="K104" s="51"/>
      <c r="L104" s="51"/>
      <c r="M104" s="51"/>
      <c r="N104" s="79">
        <f t="shared" si="22"/>
        <v>1134.57</v>
      </c>
      <c r="O104" s="286"/>
      <c r="P104" s="51">
        <f>+'budget entry'!B132</f>
        <v>22025</v>
      </c>
      <c r="Q104" s="51"/>
      <c r="R104" s="195"/>
      <c r="T104" s="51"/>
      <c r="U104" s="51"/>
      <c r="V104" s="79"/>
    </row>
    <row r="105" spans="1:29" x14ac:dyDescent="0.3">
      <c r="A105" s="78" t="s">
        <v>65</v>
      </c>
      <c r="B105" s="51">
        <v>564.26</v>
      </c>
      <c r="C105" s="51">
        <v>98.21</v>
      </c>
      <c r="D105" s="51"/>
      <c r="E105" s="51"/>
      <c r="F105" s="51"/>
      <c r="G105" s="51"/>
      <c r="H105" s="51"/>
      <c r="I105" s="51"/>
      <c r="J105" s="51"/>
      <c r="K105" s="51"/>
      <c r="L105" s="51"/>
      <c r="M105" s="51"/>
      <c r="N105" s="79">
        <f t="shared" si="22"/>
        <v>662.47</v>
      </c>
      <c r="O105" s="286">
        <f t="shared" si="23"/>
        <v>1.32494E-2</v>
      </c>
      <c r="P105" s="51">
        <f>+'budget entry'!B133</f>
        <v>50000</v>
      </c>
      <c r="Q105" s="51">
        <v>50000</v>
      </c>
      <c r="R105" s="195" t="s">
        <v>571</v>
      </c>
      <c r="T105" s="51"/>
      <c r="U105" s="51"/>
      <c r="V105" s="79"/>
      <c r="AC105" s="463"/>
    </row>
    <row r="106" spans="1:29" x14ac:dyDescent="0.3">
      <c r="A106" s="78" t="s">
        <v>9</v>
      </c>
      <c r="B106" s="63">
        <v>5722.06</v>
      </c>
      <c r="C106" s="63">
        <v>7076.85</v>
      </c>
      <c r="D106" s="63"/>
      <c r="E106" s="63"/>
      <c r="F106" s="63"/>
      <c r="G106" s="63"/>
      <c r="H106" s="63"/>
      <c r="I106" s="63"/>
      <c r="J106" s="63"/>
      <c r="K106" s="63"/>
      <c r="L106" s="63"/>
      <c r="M106" s="63"/>
      <c r="N106" s="103">
        <f t="shared" si="22"/>
        <v>12798.91</v>
      </c>
      <c r="O106" s="286">
        <f t="shared" si="23"/>
        <v>0.13222014462809917</v>
      </c>
      <c r="P106" s="63">
        <f>+'budget entry'!B134</f>
        <v>96800</v>
      </c>
      <c r="Q106" s="63">
        <v>96800</v>
      </c>
      <c r="R106" s="195"/>
      <c r="T106" s="63"/>
      <c r="U106" s="63"/>
      <c r="V106" s="103"/>
    </row>
    <row r="107" spans="1:29" x14ac:dyDescent="0.3">
      <c r="A107" s="2" t="s">
        <v>541</v>
      </c>
      <c r="B107" s="2">
        <f t="shared" ref="B107:N107" si="24">SUM(B97:B106)</f>
        <v>17042.890000000003</v>
      </c>
      <c r="C107" s="2">
        <f t="shared" si="24"/>
        <v>20752.419999999998</v>
      </c>
      <c r="D107" s="2">
        <f t="shared" si="24"/>
        <v>0</v>
      </c>
      <c r="E107" s="2">
        <f t="shared" si="24"/>
        <v>0</v>
      </c>
      <c r="F107" s="2">
        <f t="shared" si="24"/>
        <v>0</v>
      </c>
      <c r="G107" s="2">
        <f t="shared" si="24"/>
        <v>0</v>
      </c>
      <c r="H107" s="2">
        <f t="shared" si="24"/>
        <v>0</v>
      </c>
      <c r="I107" s="2">
        <f t="shared" si="24"/>
        <v>0</v>
      </c>
      <c r="J107" s="2">
        <f t="shared" si="24"/>
        <v>0</v>
      </c>
      <c r="K107" s="2">
        <f t="shared" si="24"/>
        <v>0</v>
      </c>
      <c r="L107" s="2">
        <f t="shared" si="24"/>
        <v>0</v>
      </c>
      <c r="M107" s="2">
        <f t="shared" si="24"/>
        <v>0</v>
      </c>
      <c r="N107" s="2">
        <f t="shared" si="24"/>
        <v>37795.31</v>
      </c>
      <c r="O107" s="286">
        <f>N107/P107</f>
        <v>0.1049954619802855</v>
      </c>
      <c r="P107" s="2">
        <f>SUM(P97:P106)</f>
        <v>359970.891</v>
      </c>
      <c r="Q107" s="2">
        <f>SUM(Q97:Q106)</f>
        <v>319632</v>
      </c>
      <c r="R107" s="195"/>
      <c r="T107" s="2"/>
      <c r="U107" s="2"/>
      <c r="V107" s="2"/>
    </row>
    <row r="108" spans="1:29" ht="8.25" customHeight="1" x14ac:dyDescent="0.3">
      <c r="A108" s="51"/>
      <c r="B108" s="375"/>
      <c r="C108" s="375"/>
      <c r="D108" s="375"/>
      <c r="E108" s="375"/>
      <c r="F108" s="375"/>
      <c r="G108" s="375"/>
      <c r="H108" s="375"/>
      <c r="I108" s="375"/>
      <c r="J108" s="375"/>
      <c r="K108" s="375"/>
      <c r="L108" s="375"/>
      <c r="M108" s="375"/>
      <c r="N108" s="375"/>
      <c r="O108" s="346"/>
      <c r="P108" s="375"/>
      <c r="Q108" s="51"/>
      <c r="R108" s="374"/>
      <c r="S108" s="374"/>
      <c r="T108" s="375"/>
      <c r="U108" s="375"/>
      <c r="V108" s="79"/>
    </row>
    <row r="109" spans="1:29" x14ac:dyDescent="0.3">
      <c r="A109" s="128" t="s">
        <v>236</v>
      </c>
      <c r="B109" s="51"/>
      <c r="C109" s="51"/>
      <c r="D109" s="51"/>
      <c r="E109" s="51"/>
      <c r="F109" s="51"/>
      <c r="G109" s="51"/>
      <c r="H109" s="51"/>
      <c r="I109" s="51"/>
      <c r="J109" s="51"/>
      <c r="K109" s="51"/>
      <c r="L109" s="51"/>
      <c r="M109" s="51"/>
      <c r="N109" s="51"/>
      <c r="O109" s="293"/>
      <c r="P109" s="51"/>
      <c r="Q109" s="51"/>
      <c r="R109" s="195"/>
      <c r="T109" s="51"/>
      <c r="U109" s="51"/>
      <c r="V109" s="78"/>
    </row>
    <row r="110" spans="1:29" x14ac:dyDescent="0.3">
      <c r="A110" s="78" t="s">
        <v>1</v>
      </c>
      <c r="B110" s="51"/>
      <c r="C110" s="51">
        <v>296.70999999999998</v>
      </c>
      <c r="D110" s="51"/>
      <c r="E110" s="51"/>
      <c r="F110" s="51"/>
      <c r="G110" s="51"/>
      <c r="H110" s="51"/>
      <c r="I110" s="51"/>
      <c r="J110" s="51"/>
      <c r="K110" s="51"/>
      <c r="L110" s="51"/>
      <c r="M110" s="51"/>
      <c r="N110" s="79">
        <f>SUM(B110:M110)</f>
        <v>296.70999999999998</v>
      </c>
      <c r="O110" s="286">
        <f>N110/P110</f>
        <v>2.3736799999999999E-2</v>
      </c>
      <c r="P110" s="51">
        <f>+'budget entry'!B138</f>
        <v>12500</v>
      </c>
      <c r="Q110" s="51">
        <v>16000</v>
      </c>
      <c r="R110" s="195"/>
      <c r="T110" s="51"/>
      <c r="U110" s="51"/>
      <c r="V110" s="78"/>
    </row>
    <row r="111" spans="1:29" x14ac:dyDescent="0.3">
      <c r="A111" s="78" t="s">
        <v>497</v>
      </c>
      <c r="B111" s="51"/>
      <c r="C111" s="51">
        <v>65.36</v>
      </c>
      <c r="D111" s="51"/>
      <c r="E111" s="51"/>
      <c r="F111" s="51"/>
      <c r="G111" s="51"/>
      <c r="H111" s="51"/>
      <c r="I111" s="51"/>
      <c r="J111" s="51"/>
      <c r="K111" s="51"/>
      <c r="L111" s="51"/>
      <c r="M111" s="51"/>
      <c r="N111" s="79">
        <f>SUM(B111:M111)</f>
        <v>65.36</v>
      </c>
      <c r="O111" s="286">
        <f>N111/P111</f>
        <v>2.3930434782608697E-2</v>
      </c>
      <c r="P111" s="51">
        <f>+'budget entry'!B139+'budget entry'!B140</f>
        <v>2731.25</v>
      </c>
      <c r="Q111" s="51">
        <f>232+3264+200</f>
        <v>3696</v>
      </c>
      <c r="R111" s="195"/>
      <c r="T111" s="51"/>
      <c r="U111" s="51"/>
      <c r="V111" s="78"/>
    </row>
    <row r="112" spans="1:29" x14ac:dyDescent="0.3">
      <c r="A112" s="78" t="s">
        <v>479</v>
      </c>
      <c r="B112" s="51">
        <v>204.49</v>
      </c>
      <c r="C112" s="51">
        <v>236</v>
      </c>
      <c r="D112" s="51"/>
      <c r="E112" s="51"/>
      <c r="F112" s="51"/>
      <c r="G112" s="51"/>
      <c r="H112" s="51"/>
      <c r="I112" s="51"/>
      <c r="J112" s="51"/>
      <c r="K112" s="51"/>
      <c r="L112" s="51"/>
      <c r="M112" s="51"/>
      <c r="N112" s="79">
        <f>SUM(B112:M112)</f>
        <v>440.49</v>
      </c>
      <c r="O112" s="286">
        <f>N112/P112</f>
        <v>8.8097999999999996E-2</v>
      </c>
      <c r="P112" s="51">
        <f>+'budget entry'!B141</f>
        <v>5000</v>
      </c>
      <c r="Q112" s="51">
        <v>5000</v>
      </c>
      <c r="R112" s="195"/>
      <c r="T112" s="51"/>
      <c r="U112" s="51"/>
      <c r="V112" s="78"/>
    </row>
    <row r="113" spans="1:22" x14ac:dyDescent="0.3">
      <c r="A113" s="78" t="s">
        <v>241</v>
      </c>
      <c r="B113" s="63">
        <v>750.16</v>
      </c>
      <c r="C113" s="63">
        <v>30</v>
      </c>
      <c r="D113" s="63"/>
      <c r="E113" s="63"/>
      <c r="F113" s="63"/>
      <c r="G113" s="63"/>
      <c r="H113" s="63"/>
      <c r="I113" s="63"/>
      <c r="J113" s="63"/>
      <c r="K113" s="63"/>
      <c r="L113" s="63"/>
      <c r="M113" s="63"/>
      <c r="N113" s="103">
        <f>SUM(B113:M113)</f>
        <v>780.16</v>
      </c>
      <c r="O113" s="286">
        <f>N113/P113</f>
        <v>9.7519999999999996E-2</v>
      </c>
      <c r="P113" s="63">
        <f>+'budget entry'!B142</f>
        <v>8000</v>
      </c>
      <c r="Q113" s="63">
        <v>8000</v>
      </c>
      <c r="R113" s="195"/>
      <c r="T113" s="63"/>
      <c r="U113" s="63"/>
      <c r="V113" s="78"/>
    </row>
    <row r="114" spans="1:22" x14ac:dyDescent="0.3">
      <c r="A114" s="60" t="s">
        <v>247</v>
      </c>
      <c r="B114" s="46">
        <f>SUM(B110:B113)</f>
        <v>954.65</v>
      </c>
      <c r="C114" s="46">
        <f t="shared" ref="C114:N114" si="25">SUM(C110:C113)</f>
        <v>628.06999999999994</v>
      </c>
      <c r="D114" s="46">
        <f t="shared" si="25"/>
        <v>0</v>
      </c>
      <c r="E114" s="46">
        <f t="shared" si="25"/>
        <v>0</v>
      </c>
      <c r="F114" s="46">
        <f t="shared" si="25"/>
        <v>0</v>
      </c>
      <c r="G114" s="46">
        <f t="shared" si="25"/>
        <v>0</v>
      </c>
      <c r="H114" s="46">
        <f t="shared" si="25"/>
        <v>0</v>
      </c>
      <c r="I114" s="46">
        <f t="shared" si="25"/>
        <v>0</v>
      </c>
      <c r="J114" s="46">
        <f t="shared" si="25"/>
        <v>0</v>
      </c>
      <c r="K114" s="46">
        <f t="shared" si="25"/>
        <v>0</v>
      </c>
      <c r="L114" s="46">
        <f t="shared" si="25"/>
        <v>0</v>
      </c>
      <c r="M114" s="46">
        <f t="shared" si="25"/>
        <v>0</v>
      </c>
      <c r="N114" s="46">
        <f t="shared" si="25"/>
        <v>1582.7199999999998</v>
      </c>
      <c r="O114" s="286">
        <f>N114/P114</f>
        <v>5.606269647996457E-2</v>
      </c>
      <c r="P114" s="46">
        <f>SUM(P110:P113)</f>
        <v>28231.25</v>
      </c>
      <c r="Q114" s="87">
        <f>SUM(Q110:Q113)</f>
        <v>32696</v>
      </c>
      <c r="R114" s="195"/>
      <c r="T114" s="46"/>
      <c r="U114" s="46"/>
      <c r="V114" s="78"/>
    </row>
    <row r="115" spans="1:22" ht="9" customHeight="1" x14ac:dyDescent="0.3">
      <c r="A115" s="51"/>
      <c r="B115" s="375"/>
      <c r="C115" s="375"/>
      <c r="D115" s="375"/>
      <c r="E115" s="375"/>
      <c r="F115" s="375"/>
      <c r="G115" s="375"/>
      <c r="H115" s="375"/>
      <c r="I115" s="375"/>
      <c r="J115" s="375"/>
      <c r="K115" s="375"/>
      <c r="L115" s="375"/>
      <c r="M115" s="375"/>
      <c r="N115" s="375"/>
      <c r="O115" s="346"/>
      <c r="P115" s="375"/>
      <c r="Q115" s="58"/>
      <c r="R115" s="374"/>
      <c r="S115" s="374"/>
      <c r="T115" s="375"/>
      <c r="U115" s="375"/>
      <c r="V115" s="79"/>
    </row>
    <row r="116" spans="1:22" x14ac:dyDescent="0.3">
      <c r="A116" s="128" t="s">
        <v>575</v>
      </c>
      <c r="B116" s="51"/>
      <c r="C116" s="51"/>
      <c r="D116" s="51"/>
      <c r="E116" s="51"/>
      <c r="F116" s="51"/>
      <c r="G116" s="51"/>
      <c r="H116" s="51"/>
      <c r="I116" s="51"/>
      <c r="J116" s="51"/>
      <c r="K116" s="51"/>
      <c r="L116" s="51"/>
      <c r="M116" s="51"/>
      <c r="N116" s="79">
        <f t="shared" ref="N116:N123" si="26">SUM(B116:M116)</f>
        <v>0</v>
      </c>
      <c r="O116" s="293"/>
      <c r="P116" s="51"/>
      <c r="Q116" s="58"/>
      <c r="R116" s="195"/>
      <c r="T116" s="51"/>
      <c r="U116" s="51"/>
      <c r="V116" s="78"/>
    </row>
    <row r="117" spans="1:22" x14ac:dyDescent="0.3">
      <c r="A117" s="78" t="s">
        <v>480</v>
      </c>
      <c r="B117" s="51">
        <v>7544.19</v>
      </c>
      <c r="C117" s="51">
        <v>2306.3000000000002</v>
      </c>
      <c r="D117" s="51"/>
      <c r="E117" s="51"/>
      <c r="F117" s="51"/>
      <c r="G117" s="51"/>
      <c r="H117" s="51"/>
      <c r="I117" s="51"/>
      <c r="J117" s="51"/>
      <c r="K117" s="51"/>
      <c r="L117" s="51"/>
      <c r="M117" s="51"/>
      <c r="N117" s="79">
        <f t="shared" si="26"/>
        <v>9850.49</v>
      </c>
      <c r="O117" s="286">
        <f t="shared" ref="O117:O123" si="27">N117/P117</f>
        <v>0.19700979999999998</v>
      </c>
      <c r="P117" s="51">
        <f>+'budget entry'!B146</f>
        <v>50000</v>
      </c>
      <c r="Q117" s="58">
        <v>50000</v>
      </c>
      <c r="R117" s="195" t="s">
        <v>570</v>
      </c>
      <c r="T117" s="51"/>
      <c r="U117" s="51"/>
      <c r="V117" s="78"/>
    </row>
    <row r="118" spans="1:22" x14ac:dyDescent="0.3">
      <c r="A118" s="78" t="s">
        <v>228</v>
      </c>
      <c r="B118" s="51">
        <v>3625</v>
      </c>
      <c r="C118" s="51">
        <v>3625</v>
      </c>
      <c r="D118" s="51"/>
      <c r="E118" s="51"/>
      <c r="F118" s="51"/>
      <c r="G118" s="51"/>
      <c r="H118" s="51"/>
      <c r="I118" s="51"/>
      <c r="J118" s="51"/>
      <c r="K118" s="51"/>
      <c r="L118" s="51"/>
      <c r="M118" s="51"/>
      <c r="N118" s="79">
        <f t="shared" si="26"/>
        <v>7250</v>
      </c>
      <c r="O118" s="286">
        <f t="shared" si="27"/>
        <v>0.13181818181818181</v>
      </c>
      <c r="P118" s="51">
        <f>+'budget entry'!B147</f>
        <v>55000</v>
      </c>
      <c r="Q118" s="58">
        <v>50000</v>
      </c>
      <c r="R118" s="195"/>
      <c r="T118" s="51"/>
      <c r="U118" s="51"/>
      <c r="V118" s="78"/>
    </row>
    <row r="119" spans="1:22" x14ac:dyDescent="0.3">
      <c r="A119" s="78" t="s">
        <v>47</v>
      </c>
      <c r="B119" s="51"/>
      <c r="C119" s="51">
        <v>646.6</v>
      </c>
      <c r="D119" s="51"/>
      <c r="E119" s="51"/>
      <c r="F119" s="51"/>
      <c r="G119" s="51"/>
      <c r="H119" s="51"/>
      <c r="I119" s="51"/>
      <c r="J119" s="51"/>
      <c r="K119" s="51"/>
      <c r="L119" s="51"/>
      <c r="M119" s="51"/>
      <c r="N119" s="79">
        <f t="shared" si="26"/>
        <v>646.6</v>
      </c>
      <c r="O119" s="286">
        <f t="shared" si="27"/>
        <v>2.4869230769230768E-2</v>
      </c>
      <c r="P119" s="51">
        <f>+'budget entry'!B148</f>
        <v>26000</v>
      </c>
      <c r="Q119" s="58">
        <v>26000</v>
      </c>
      <c r="R119" s="195"/>
      <c r="T119" s="51"/>
      <c r="U119" s="51"/>
      <c r="V119" s="78"/>
    </row>
    <row r="120" spans="1:22" x14ac:dyDescent="0.3">
      <c r="A120" s="78" t="s">
        <v>11</v>
      </c>
      <c r="B120" s="51">
        <v>1127.49</v>
      </c>
      <c r="C120" s="51">
        <v>1588.08</v>
      </c>
      <c r="D120" s="51"/>
      <c r="E120" s="51"/>
      <c r="F120" s="51"/>
      <c r="G120" s="51"/>
      <c r="H120" s="51"/>
      <c r="I120" s="51"/>
      <c r="J120" s="51"/>
      <c r="K120" s="51"/>
      <c r="L120" s="51"/>
      <c r="M120" s="51"/>
      <c r="N120" s="79">
        <f t="shared" si="26"/>
        <v>2715.5699999999997</v>
      </c>
      <c r="O120" s="286">
        <f t="shared" si="27"/>
        <v>0.10862279999999999</v>
      </c>
      <c r="P120" s="51">
        <f>+'budget entry'!B149</f>
        <v>25000</v>
      </c>
      <c r="Q120" s="58">
        <v>25000</v>
      </c>
      <c r="R120" s="195"/>
      <c r="T120" s="51"/>
      <c r="U120" s="51"/>
      <c r="V120" s="221"/>
    </row>
    <row r="121" spans="1:22" x14ac:dyDescent="0.3">
      <c r="A121" s="78" t="s">
        <v>12</v>
      </c>
      <c r="B121" s="51">
        <v>19.8</v>
      </c>
      <c r="C121" s="51">
        <v>362.25</v>
      </c>
      <c r="D121" s="51"/>
      <c r="E121" s="51"/>
      <c r="F121" s="51"/>
      <c r="G121" s="51"/>
      <c r="H121" s="51"/>
      <c r="I121" s="51"/>
      <c r="J121" s="51"/>
      <c r="K121" s="51"/>
      <c r="L121" s="51"/>
      <c r="M121" s="51"/>
      <c r="N121" s="79">
        <f t="shared" si="26"/>
        <v>382.05</v>
      </c>
      <c r="O121" s="286">
        <f t="shared" si="27"/>
        <v>0.12734999999999999</v>
      </c>
      <c r="P121" s="51">
        <f>+'budget entry'!B150</f>
        <v>3000</v>
      </c>
      <c r="Q121" s="58">
        <v>3000</v>
      </c>
      <c r="R121" s="195"/>
      <c r="T121" s="51"/>
      <c r="U121" s="51"/>
    </row>
    <row r="122" spans="1:22" x14ac:dyDescent="0.3">
      <c r="A122" s="78" t="s">
        <v>13</v>
      </c>
      <c r="B122" s="51" t="s">
        <v>15</v>
      </c>
      <c r="C122" s="51"/>
      <c r="D122" s="51"/>
      <c r="E122" s="51"/>
      <c r="F122" s="51"/>
      <c r="G122" s="51"/>
      <c r="H122" s="51"/>
      <c r="I122" s="51"/>
      <c r="J122" s="51"/>
      <c r="K122" s="51"/>
      <c r="L122" s="51"/>
      <c r="M122" s="51"/>
      <c r="N122" s="79">
        <f t="shared" si="26"/>
        <v>0</v>
      </c>
      <c r="O122" s="286">
        <f t="shared" si="27"/>
        <v>0</v>
      </c>
      <c r="P122" s="51">
        <f>+'budget entry'!B151</f>
        <v>6500</v>
      </c>
      <c r="Q122" s="58">
        <v>6500</v>
      </c>
      <c r="R122" s="195"/>
      <c r="T122" s="51"/>
      <c r="U122" s="51"/>
      <c r="V122" s="79"/>
    </row>
    <row r="123" spans="1:22" x14ac:dyDescent="0.3">
      <c r="A123" s="78" t="s">
        <v>64</v>
      </c>
      <c r="B123" s="63"/>
      <c r="C123" s="63">
        <v>1360.03</v>
      </c>
      <c r="D123" s="63"/>
      <c r="E123" s="63"/>
      <c r="F123" s="63"/>
      <c r="G123" s="63"/>
      <c r="H123" s="63"/>
      <c r="I123" s="63"/>
      <c r="J123" s="63"/>
      <c r="K123" s="63"/>
      <c r="L123" s="63"/>
      <c r="M123" s="63"/>
      <c r="N123" s="103">
        <f t="shared" si="26"/>
        <v>1360.03</v>
      </c>
      <c r="O123" s="286">
        <f t="shared" si="27"/>
        <v>8.802783171521035E-2</v>
      </c>
      <c r="P123" s="63">
        <f>+'budget entry'!B152</f>
        <v>15450</v>
      </c>
      <c r="Q123" s="63">
        <v>15450</v>
      </c>
      <c r="R123" s="374"/>
      <c r="S123" s="374"/>
      <c r="T123" s="63"/>
      <c r="U123" s="63"/>
      <c r="V123" s="81"/>
    </row>
    <row r="124" spans="1:22" x14ac:dyDescent="0.3">
      <c r="A124" s="2" t="s">
        <v>575</v>
      </c>
      <c r="B124" s="105">
        <f t="shared" ref="B124:N124" si="28">SUM(B117:B123)</f>
        <v>12316.479999999998</v>
      </c>
      <c r="C124" s="105">
        <f>SUM(C117:C123)</f>
        <v>9888.26</v>
      </c>
      <c r="D124" s="105">
        <f>SUM(D117:D123)</f>
        <v>0</v>
      </c>
      <c r="E124" s="105">
        <f t="shared" si="28"/>
        <v>0</v>
      </c>
      <c r="F124" s="105">
        <f t="shared" si="28"/>
        <v>0</v>
      </c>
      <c r="G124" s="105">
        <f t="shared" si="28"/>
        <v>0</v>
      </c>
      <c r="H124" s="105">
        <f t="shared" si="28"/>
        <v>0</v>
      </c>
      <c r="I124" s="105">
        <f t="shared" si="28"/>
        <v>0</v>
      </c>
      <c r="J124" s="105">
        <f t="shared" si="28"/>
        <v>0</v>
      </c>
      <c r="K124" s="105">
        <f t="shared" si="28"/>
        <v>0</v>
      </c>
      <c r="L124" s="105">
        <f t="shared" si="28"/>
        <v>0</v>
      </c>
      <c r="M124" s="105">
        <f t="shared" si="28"/>
        <v>0</v>
      </c>
      <c r="N124" s="105">
        <f t="shared" si="28"/>
        <v>22204.739999999994</v>
      </c>
      <c r="O124" s="286">
        <f>N124/P124</f>
        <v>0.12271201989499858</v>
      </c>
      <c r="P124" s="105">
        <f>SUM(P117:P123)</f>
        <v>180950</v>
      </c>
      <c r="Q124" s="105">
        <f>SUM(Q117:Q123)</f>
        <v>175950</v>
      </c>
      <c r="R124" s="374"/>
      <c r="S124" s="374"/>
      <c r="T124" s="105"/>
      <c r="U124" s="105"/>
      <c r="V124" s="105"/>
    </row>
    <row r="125" spans="1:22" x14ac:dyDescent="0.3">
      <c r="A125" s="2"/>
      <c r="B125" s="105"/>
      <c r="C125" s="105"/>
      <c r="D125" s="105"/>
      <c r="E125" s="105"/>
      <c r="F125" s="105"/>
      <c r="G125" s="105"/>
      <c r="H125" s="105"/>
      <c r="I125" s="105"/>
      <c r="J125" s="105"/>
      <c r="K125" s="105"/>
      <c r="L125" s="105"/>
      <c r="M125" s="105"/>
      <c r="N125" s="105"/>
      <c r="O125" s="286"/>
      <c r="P125" s="105"/>
      <c r="Q125" s="105"/>
      <c r="R125" s="374"/>
      <c r="S125" s="374"/>
      <c r="T125" s="105"/>
      <c r="U125" s="105"/>
      <c r="V125" s="105"/>
    </row>
    <row r="126" spans="1:22" s="195" customFormat="1" x14ac:dyDescent="0.3">
      <c r="A126" s="128" t="s">
        <v>706</v>
      </c>
      <c r="B126" s="51"/>
      <c r="C126" s="51"/>
      <c r="D126" s="51"/>
      <c r="E126" s="51"/>
      <c r="F126" s="51"/>
      <c r="G126" s="51"/>
      <c r="H126" s="51"/>
      <c r="I126" s="51"/>
      <c r="J126" s="51"/>
      <c r="K126" s="51"/>
      <c r="L126" s="51"/>
      <c r="M126" s="51"/>
      <c r="N126" s="51"/>
      <c r="O126" s="339"/>
      <c r="P126" s="51"/>
      <c r="Q126" s="51"/>
      <c r="R126" s="51"/>
      <c r="S126" s="394"/>
      <c r="T126" s="394"/>
      <c r="U126" s="51"/>
      <c r="V126" s="51"/>
    </row>
    <row r="127" spans="1:22" s="195" customFormat="1" x14ac:dyDescent="0.3">
      <c r="A127" s="78" t="s">
        <v>1</v>
      </c>
      <c r="B127" s="51"/>
      <c r="C127" s="51">
        <v>1313.56</v>
      </c>
      <c r="D127" s="51"/>
      <c r="E127" s="51"/>
      <c r="F127" s="51"/>
      <c r="G127" s="51"/>
      <c r="H127" s="51"/>
      <c r="I127" s="51"/>
      <c r="J127" s="51"/>
      <c r="K127" s="51"/>
      <c r="L127" s="51"/>
      <c r="M127" s="51"/>
      <c r="N127" s="332">
        <f>SUM(B127:M127)</f>
        <v>1313.56</v>
      </c>
      <c r="O127" s="339">
        <f>N127/P127</f>
        <v>4.2118831564433898E-2</v>
      </c>
      <c r="P127" s="51">
        <f>+'budget entry'!B156</f>
        <v>31187</v>
      </c>
      <c r="Q127" s="51"/>
      <c r="R127" s="51"/>
      <c r="S127" s="394"/>
      <c r="T127" s="394"/>
      <c r="U127" s="51">
        <v>14080</v>
      </c>
      <c r="V127" s="51">
        <v>14080</v>
      </c>
    </row>
    <row r="128" spans="1:22" s="195" customFormat="1" x14ac:dyDescent="0.3">
      <c r="A128" s="78" t="s">
        <v>497</v>
      </c>
      <c r="B128" s="51"/>
      <c r="C128" s="51">
        <v>436.72</v>
      </c>
      <c r="D128" s="51"/>
      <c r="E128" s="51"/>
      <c r="F128" s="51"/>
      <c r="G128" s="51"/>
      <c r="H128" s="51"/>
      <c r="I128" s="51"/>
      <c r="J128" s="51"/>
      <c r="K128" s="51"/>
      <c r="L128" s="51"/>
      <c r="M128" s="51"/>
      <c r="N128" s="332">
        <f>SUM(B128:M128)</f>
        <v>436.72</v>
      </c>
      <c r="O128" s="339">
        <f>N128/P128</f>
        <v>2.2483525535420101E-2</v>
      </c>
      <c r="P128" s="51">
        <f>+'budget entry'!B157+'budget entry'!B158+'budget entry'!B159</f>
        <v>19424</v>
      </c>
      <c r="Q128" s="51"/>
      <c r="R128" s="51"/>
      <c r="S128" s="394"/>
      <c r="T128" s="394"/>
      <c r="U128" s="51">
        <v>3013</v>
      </c>
      <c r="V128" s="51">
        <v>3013</v>
      </c>
    </row>
    <row r="129" spans="1:25" s="195" customFormat="1" x14ac:dyDescent="0.3">
      <c r="A129" s="78" t="s">
        <v>503</v>
      </c>
      <c r="B129" s="63"/>
      <c r="C129" s="63">
        <v>71.61</v>
      </c>
      <c r="D129" s="63"/>
      <c r="E129" s="63"/>
      <c r="F129" s="63"/>
      <c r="G129" s="63"/>
      <c r="H129" s="63"/>
      <c r="I129" s="63"/>
      <c r="J129" s="63"/>
      <c r="K129" s="63"/>
      <c r="L129" s="63"/>
      <c r="M129" s="63"/>
      <c r="N129" s="334">
        <f>SUM(B129:M129)</f>
        <v>71.61</v>
      </c>
      <c r="O129" s="339">
        <f>N129/P129</f>
        <v>5.1150000000000001E-2</v>
      </c>
      <c r="P129" s="461">
        <f>+'budget entry'!B160</f>
        <v>1400</v>
      </c>
      <c r="Q129" s="63"/>
      <c r="R129" s="58"/>
      <c r="S129" s="394"/>
      <c r="T129" s="394"/>
      <c r="U129" s="63">
        <v>8000</v>
      </c>
      <c r="V129" s="63">
        <v>8000</v>
      </c>
    </row>
    <row r="130" spans="1:25" s="195" customFormat="1" x14ac:dyDescent="0.3">
      <c r="A130" s="60" t="s">
        <v>729</v>
      </c>
      <c r="B130" s="87">
        <f t="shared" ref="B130:N130" si="29">SUM(B127:B129)</f>
        <v>0</v>
      </c>
      <c r="C130" s="87">
        <f t="shared" si="29"/>
        <v>1821.8899999999999</v>
      </c>
      <c r="D130" s="87">
        <f t="shared" si="29"/>
        <v>0</v>
      </c>
      <c r="E130" s="87">
        <f t="shared" si="29"/>
        <v>0</v>
      </c>
      <c r="F130" s="87">
        <f t="shared" si="29"/>
        <v>0</v>
      </c>
      <c r="G130" s="87">
        <f t="shared" si="29"/>
        <v>0</v>
      </c>
      <c r="H130" s="87">
        <f t="shared" si="29"/>
        <v>0</v>
      </c>
      <c r="I130" s="87">
        <f t="shared" si="29"/>
        <v>0</v>
      </c>
      <c r="J130" s="87">
        <f t="shared" si="29"/>
        <v>0</v>
      </c>
      <c r="K130" s="87">
        <f t="shared" si="29"/>
        <v>0</v>
      </c>
      <c r="L130" s="87">
        <f t="shared" si="29"/>
        <v>0</v>
      </c>
      <c r="M130" s="87">
        <f t="shared" si="29"/>
        <v>0</v>
      </c>
      <c r="N130" s="87">
        <f t="shared" si="29"/>
        <v>1821.8899999999999</v>
      </c>
      <c r="O130" s="339">
        <f>N130/P130</f>
        <v>3.5028936186575911E-2</v>
      </c>
      <c r="P130" s="87">
        <f>SUM(P127:P129)</f>
        <v>52011</v>
      </c>
      <c r="Q130" s="87">
        <f>SUM(Q127:Q129)</f>
        <v>0</v>
      </c>
      <c r="R130" s="87"/>
      <c r="S130" s="394"/>
      <c r="T130" s="394"/>
      <c r="U130" s="87">
        <f>SUM(U127:U129)</f>
        <v>25093</v>
      </c>
      <c r="V130" s="87">
        <f>SUM(V127:V129)</f>
        <v>25093</v>
      </c>
    </row>
    <row r="131" spans="1:25" x14ac:dyDescent="0.3">
      <c r="A131" s="2"/>
      <c r="B131" s="105"/>
      <c r="C131" s="105"/>
      <c r="D131" s="105"/>
      <c r="E131" s="105"/>
      <c r="F131" s="105"/>
      <c r="G131" s="105"/>
      <c r="H131" s="105"/>
      <c r="I131" s="105"/>
      <c r="J131" s="105"/>
      <c r="K131" s="105"/>
      <c r="L131" s="105"/>
      <c r="M131" s="105"/>
      <c r="N131" s="105"/>
      <c r="O131" s="286"/>
      <c r="P131" s="105"/>
      <c r="Q131" s="105"/>
      <c r="R131" s="374"/>
      <c r="S131" s="374"/>
      <c r="T131" s="105"/>
      <c r="U131" s="105"/>
      <c r="V131" s="105"/>
    </row>
    <row r="132" spans="1:25" x14ac:dyDescent="0.3">
      <c r="A132" s="60" t="s">
        <v>481</v>
      </c>
      <c r="B132" s="87">
        <v>28532.75</v>
      </c>
      <c r="C132" s="87">
        <v>28532.75</v>
      </c>
      <c r="D132" s="87"/>
      <c r="E132" s="87"/>
      <c r="F132" s="87"/>
      <c r="G132" s="87"/>
      <c r="H132" s="87"/>
      <c r="I132" s="87"/>
      <c r="J132" s="87"/>
      <c r="K132" s="87"/>
      <c r="L132" s="87"/>
      <c r="M132" s="87"/>
      <c r="N132" s="332">
        <f>SUM(B132:M132)</f>
        <v>57065.5</v>
      </c>
      <c r="O132" s="286">
        <f>N132/P132</f>
        <v>0.19914744075184349</v>
      </c>
      <c r="P132" s="87">
        <f>+'budget entry'!B165</f>
        <v>286549</v>
      </c>
      <c r="Q132" s="87">
        <v>345000</v>
      </c>
      <c r="R132" s="374"/>
      <c r="S132" s="374"/>
      <c r="T132" s="87"/>
      <c r="U132" s="87"/>
      <c r="V132" s="218"/>
    </row>
    <row r="133" spans="1:25" ht="5.25" customHeight="1" x14ac:dyDescent="0.3">
      <c r="A133" s="51"/>
      <c r="B133" s="375"/>
      <c r="C133" s="375"/>
      <c r="D133" s="375"/>
      <c r="E133" s="375"/>
      <c r="F133" s="375"/>
      <c r="G133" s="375"/>
      <c r="H133" s="375"/>
      <c r="I133" s="375"/>
      <c r="J133" s="375"/>
      <c r="K133" s="375"/>
      <c r="L133" s="375"/>
      <c r="M133" s="375"/>
      <c r="N133" s="375"/>
      <c r="O133" s="346"/>
      <c r="P133" s="375"/>
      <c r="Q133" s="375"/>
      <c r="R133" s="374"/>
      <c r="S133" s="374"/>
      <c r="T133" s="375"/>
      <c r="U133" s="375"/>
      <c r="V133" s="79"/>
    </row>
    <row r="134" spans="1:25" ht="17.25" customHeight="1" x14ac:dyDescent="0.3">
      <c r="A134" s="51" t="s">
        <v>666</v>
      </c>
      <c r="B134" s="63"/>
      <c r="C134" s="63">
        <v>2330.12</v>
      </c>
      <c r="D134" s="63"/>
      <c r="E134" s="63"/>
      <c r="F134" s="63"/>
      <c r="G134" s="63"/>
      <c r="H134" s="63"/>
      <c r="I134" s="63"/>
      <c r="J134" s="63"/>
      <c r="K134" s="63"/>
      <c r="L134" s="63"/>
      <c r="M134" s="63"/>
      <c r="N134" s="79">
        <f>SUM(B134:M134)</f>
        <v>2330.12</v>
      </c>
      <c r="O134" s="346"/>
      <c r="P134" s="84">
        <f>+'budget entry'!B163</f>
        <v>29500</v>
      </c>
      <c r="Q134" s="433"/>
      <c r="R134" s="374"/>
      <c r="S134" s="374"/>
      <c r="T134" s="375"/>
      <c r="U134" s="375"/>
      <c r="V134" s="79"/>
    </row>
    <row r="135" spans="1:25" x14ac:dyDescent="0.3">
      <c r="A135" s="273" t="s">
        <v>600</v>
      </c>
      <c r="B135" s="415">
        <f>+B132+B124+B114+B107+B94+B82+B72+B59+B49+B38+B134</f>
        <v>268372</v>
      </c>
      <c r="C135" s="415">
        <f>+C132+C124+C114+C107+C94+C82+C72+C59+C49+C38+C134+C130</f>
        <v>347209.71</v>
      </c>
      <c r="D135" s="415">
        <f t="shared" ref="D135:M135" si="30">+D132+D124+D114+D107+D94+D82+D72+D59+D49+D38+D134+D130</f>
        <v>0</v>
      </c>
      <c r="E135" s="415">
        <f t="shared" si="30"/>
        <v>0</v>
      </c>
      <c r="F135" s="415">
        <f t="shared" si="30"/>
        <v>0</v>
      </c>
      <c r="G135" s="415">
        <f t="shared" si="30"/>
        <v>0</v>
      </c>
      <c r="H135" s="415">
        <f t="shared" si="30"/>
        <v>0</v>
      </c>
      <c r="I135" s="415">
        <f t="shared" si="30"/>
        <v>0</v>
      </c>
      <c r="J135" s="415">
        <f t="shared" si="30"/>
        <v>0</v>
      </c>
      <c r="K135" s="415">
        <f t="shared" si="30"/>
        <v>0</v>
      </c>
      <c r="L135" s="415">
        <f t="shared" si="30"/>
        <v>0</v>
      </c>
      <c r="M135" s="415">
        <f t="shared" si="30"/>
        <v>0</v>
      </c>
      <c r="N135" s="532">
        <f>+N132+N124+N114+N107+N94+N82+N72+N59+N49+N38+N134+N130</f>
        <v>615581.71</v>
      </c>
      <c r="O135" s="286">
        <f>N135/P135</f>
        <v>0.14740509111522546</v>
      </c>
      <c r="P135" s="415">
        <f>+P132+P124+P114+P107+P94+P82+P72+P59+P49+P38+P130+P134</f>
        <v>4176122.4483000003</v>
      </c>
      <c r="Q135" s="415">
        <f>+Q132+Q124+Q114+Q107+Q94+Q82+Q72+Q59+Q49+Q38</f>
        <v>3976255</v>
      </c>
      <c r="R135" s="172"/>
      <c r="S135" s="197"/>
      <c r="T135" s="279"/>
      <c r="U135" s="279"/>
      <c r="V135" s="279"/>
      <c r="Y135" s="353"/>
    </row>
    <row r="136" spans="1:25" x14ac:dyDescent="0.3">
      <c r="A136" s="273" t="s">
        <v>605</v>
      </c>
      <c r="B136" s="427"/>
      <c r="C136" s="427"/>
      <c r="D136" s="427"/>
      <c r="E136" s="427"/>
      <c r="F136" s="427"/>
      <c r="G136" s="427"/>
      <c r="H136" s="427"/>
      <c r="I136" s="427"/>
      <c r="J136" s="427"/>
      <c r="K136" s="427"/>
      <c r="L136" s="427"/>
      <c r="M136" s="427"/>
      <c r="N136" s="427"/>
      <c r="O136" s="286"/>
      <c r="P136" s="427"/>
      <c r="Q136" s="427"/>
      <c r="R136" s="573"/>
      <c r="S136" s="574"/>
      <c r="T136" s="415"/>
      <c r="U136" s="415"/>
      <c r="V136" s="415"/>
    </row>
    <row r="137" spans="1:25" x14ac:dyDescent="0.3">
      <c r="A137" s="273" t="s">
        <v>601</v>
      </c>
      <c r="B137" s="427"/>
      <c r="C137" s="427">
        <v>1632</v>
      </c>
      <c r="D137" s="427"/>
      <c r="E137" s="427"/>
      <c r="F137" s="427"/>
      <c r="G137" s="427"/>
      <c r="H137" s="427"/>
      <c r="I137" s="427"/>
      <c r="J137" s="427"/>
      <c r="K137" s="427"/>
      <c r="L137" s="427"/>
      <c r="M137" s="427"/>
      <c r="N137" s="429">
        <f>SUM(B137:M137)</f>
        <v>1632</v>
      </c>
      <c r="O137" s="286">
        <f>N137/P137</f>
        <v>3.2640000000000002E-2</v>
      </c>
      <c r="P137" s="427">
        <f>+'budget entry'!B171</f>
        <v>50000</v>
      </c>
      <c r="Q137" s="427">
        <v>37500</v>
      </c>
      <c r="R137" s="573"/>
      <c r="S137" s="574"/>
      <c r="T137" s="415"/>
      <c r="U137" s="415"/>
      <c r="V137" s="415"/>
    </row>
    <row r="138" spans="1:25" x14ac:dyDescent="0.3">
      <c r="A138" s="273" t="s">
        <v>602</v>
      </c>
      <c r="B138" s="428"/>
      <c r="C138" s="428"/>
      <c r="D138" s="428"/>
      <c r="E138" s="428"/>
      <c r="F138" s="428"/>
      <c r="G138" s="428"/>
      <c r="H138" s="428"/>
      <c r="I138" s="428"/>
      <c r="J138" s="428"/>
      <c r="K138" s="428"/>
      <c r="L138" s="428"/>
      <c r="M138" s="428"/>
      <c r="N138" s="430"/>
      <c r="O138" s="286">
        <f>N138/P138</f>
        <v>0</v>
      </c>
      <c r="P138" s="428">
        <f>+'budget entry'!B172</f>
        <v>34000</v>
      </c>
      <c r="Q138" s="428">
        <v>0</v>
      </c>
      <c r="R138" s="573"/>
      <c r="S138" s="575"/>
      <c r="T138" s="415"/>
      <c r="U138" s="415"/>
      <c r="V138" s="415"/>
    </row>
    <row r="139" spans="1:25" x14ac:dyDescent="0.3">
      <c r="A139" s="273" t="s">
        <v>603</v>
      </c>
      <c r="B139" s="522">
        <f t="shared" ref="B139:N139" si="31">SUM(B135:B138)</f>
        <v>268372</v>
      </c>
      <c r="C139" s="522">
        <f t="shared" si="31"/>
        <v>348841.71</v>
      </c>
      <c r="D139" s="522">
        <f t="shared" si="31"/>
        <v>0</v>
      </c>
      <c r="E139" s="522">
        <f t="shared" si="31"/>
        <v>0</v>
      </c>
      <c r="F139" s="522">
        <f t="shared" si="31"/>
        <v>0</v>
      </c>
      <c r="G139" s="522">
        <f t="shared" si="31"/>
        <v>0</v>
      </c>
      <c r="H139" s="522">
        <f t="shared" si="31"/>
        <v>0</v>
      </c>
      <c r="I139" s="522">
        <f t="shared" si="31"/>
        <v>0</v>
      </c>
      <c r="J139" s="522">
        <f t="shared" si="31"/>
        <v>0</v>
      </c>
      <c r="K139" s="522">
        <f t="shared" si="31"/>
        <v>0</v>
      </c>
      <c r="L139" s="522">
        <f t="shared" si="31"/>
        <v>0</v>
      </c>
      <c r="M139" s="522">
        <f t="shared" si="31"/>
        <v>0</v>
      </c>
      <c r="N139" s="522">
        <f t="shared" si="31"/>
        <v>617213.71</v>
      </c>
      <c r="O139" s="286"/>
      <c r="P139" s="522">
        <f>SUM(P135:P138)</f>
        <v>4260122.4483000003</v>
      </c>
      <c r="Q139" s="522">
        <f>SUM(Q135:Q138)</f>
        <v>4013755</v>
      </c>
      <c r="R139" s="573"/>
      <c r="S139" s="576"/>
      <c r="T139" s="415"/>
      <c r="U139" s="415"/>
      <c r="V139" s="415"/>
    </row>
    <row r="140" spans="1:25" ht="15" thickBot="1" x14ac:dyDescent="0.35">
      <c r="A140" s="273" t="s">
        <v>482</v>
      </c>
      <c r="B140" s="280">
        <f t="shared" ref="B140:N140" si="32">+B23-B139</f>
        <v>62163.150000000023</v>
      </c>
      <c r="C140" s="280">
        <f t="shared" si="32"/>
        <v>67574.729999999981</v>
      </c>
      <c r="D140" s="280">
        <f t="shared" si="32"/>
        <v>0</v>
      </c>
      <c r="E140" s="280">
        <f t="shared" si="32"/>
        <v>0</v>
      </c>
      <c r="F140" s="280">
        <f t="shared" si="32"/>
        <v>0</v>
      </c>
      <c r="G140" s="280">
        <f t="shared" si="32"/>
        <v>0</v>
      </c>
      <c r="H140" s="280">
        <f t="shared" si="32"/>
        <v>0</v>
      </c>
      <c r="I140" s="280">
        <f t="shared" si="32"/>
        <v>0</v>
      </c>
      <c r="J140" s="280">
        <f t="shared" si="32"/>
        <v>0</v>
      </c>
      <c r="K140" s="280">
        <f t="shared" si="32"/>
        <v>0</v>
      </c>
      <c r="L140" s="280">
        <f t="shared" si="32"/>
        <v>0</v>
      </c>
      <c r="M140" s="280">
        <f t="shared" si="32"/>
        <v>0</v>
      </c>
      <c r="N140" s="280">
        <f t="shared" si="32"/>
        <v>129737.88</v>
      </c>
      <c r="O140" s="342"/>
      <c r="P140" s="280">
        <f>+P23-P139</f>
        <v>222135.55169999972</v>
      </c>
      <c r="Q140" s="280">
        <f>+Q23-Q139</f>
        <v>120228</v>
      </c>
      <c r="R140" s="577"/>
      <c r="S140" s="374"/>
      <c r="T140" s="280"/>
      <c r="U140" s="280"/>
      <c r="V140" s="280"/>
    </row>
    <row r="141" spans="1:25" ht="15" thickTop="1" x14ac:dyDescent="0.3">
      <c r="A141" s="62" t="s">
        <v>728</v>
      </c>
      <c r="B141" s="62"/>
      <c r="C141" s="62"/>
      <c r="D141" s="62"/>
      <c r="E141" s="62"/>
      <c r="F141" s="62"/>
      <c r="G141" s="62"/>
      <c r="H141" s="62"/>
      <c r="I141" s="62"/>
      <c r="J141" s="62"/>
      <c r="K141" s="62"/>
      <c r="L141" s="62"/>
      <c r="M141" s="62"/>
      <c r="N141" s="62"/>
      <c r="O141" s="342"/>
      <c r="P141" s="257">
        <v>1750668</v>
      </c>
      <c r="Q141" s="257">
        <f>623138+121000+632168</f>
        <v>1376306</v>
      </c>
      <c r="R141" s="578"/>
      <c r="S141" s="374"/>
      <c r="T141" s="257"/>
      <c r="U141" s="257"/>
      <c r="V141" s="79"/>
    </row>
    <row r="142" spans="1:25" ht="15" thickBot="1" x14ac:dyDescent="0.35">
      <c r="A142" s="62" t="s">
        <v>727</v>
      </c>
      <c r="B142" s="62"/>
      <c r="C142" s="62"/>
      <c r="D142" s="62"/>
      <c r="E142" s="62"/>
      <c r="F142" s="62"/>
      <c r="G142" s="62"/>
      <c r="H142" s="62"/>
      <c r="I142" s="62"/>
      <c r="J142" s="62"/>
      <c r="K142" s="62"/>
      <c r="L142" s="62"/>
      <c r="M142" s="62"/>
      <c r="N142" s="62"/>
      <c r="O142" s="292"/>
      <c r="P142" s="266">
        <f>+P141+P140</f>
        <v>1972803.5516999997</v>
      </c>
      <c r="Q142" s="266">
        <f>+Q141+Q140</f>
        <v>1496534</v>
      </c>
      <c r="T142" s="266"/>
      <c r="U142" s="266"/>
      <c r="V142" s="79"/>
    </row>
    <row r="143" spans="1:25" ht="15" thickTop="1" x14ac:dyDescent="0.3">
      <c r="V143" s="79"/>
    </row>
    <row r="144" spans="1:25" x14ac:dyDescent="0.3">
      <c r="A144" s="62"/>
      <c r="B144" s="62"/>
      <c r="C144" s="62"/>
      <c r="D144" s="62"/>
      <c r="E144" s="62"/>
      <c r="F144" s="62"/>
      <c r="G144" s="62"/>
      <c r="H144" s="62"/>
      <c r="I144" s="62"/>
      <c r="J144" s="62"/>
      <c r="K144" s="62"/>
      <c r="L144" s="62"/>
      <c r="M144" s="62"/>
      <c r="N144" s="62"/>
      <c r="O144" s="292"/>
      <c r="P144" s="490"/>
      <c r="Q144" s="62"/>
      <c r="R144" s="373"/>
      <c r="S144" s="401"/>
      <c r="V144"/>
    </row>
    <row r="145" spans="1:28" x14ac:dyDescent="0.3">
      <c r="A145" s="62"/>
      <c r="B145" s="62"/>
      <c r="C145" s="62"/>
      <c r="D145" s="62"/>
      <c r="E145" s="62"/>
      <c r="F145" s="62"/>
      <c r="G145" s="62"/>
      <c r="H145" s="62"/>
      <c r="I145" s="62"/>
      <c r="J145" s="62"/>
      <c r="K145" s="62"/>
      <c r="L145" s="62"/>
      <c r="M145" s="62"/>
      <c r="N145" s="62"/>
      <c r="O145" s="292"/>
      <c r="P145" s="62"/>
      <c r="Q145" s="62"/>
      <c r="V145"/>
    </row>
    <row r="146" spans="1:28" x14ac:dyDescent="0.3">
      <c r="A146" s="60"/>
      <c r="B146" s="60"/>
      <c r="C146" s="60"/>
      <c r="D146" s="60"/>
      <c r="E146" s="60"/>
      <c r="F146" s="60"/>
      <c r="G146" s="60"/>
      <c r="H146" s="60"/>
      <c r="I146" s="60"/>
      <c r="J146" s="60"/>
      <c r="K146" s="60"/>
      <c r="L146" s="60"/>
      <c r="M146" s="60"/>
      <c r="N146" s="60"/>
      <c r="O146" s="491"/>
      <c r="P146" s="60"/>
      <c r="Q146" s="60"/>
      <c r="T146" s="51"/>
      <c r="U146" s="51"/>
      <c r="V146"/>
    </row>
    <row r="147" spans="1:28" x14ac:dyDescent="0.3">
      <c r="V147"/>
    </row>
    <row r="148" spans="1:28" x14ac:dyDescent="0.3">
      <c r="P148" s="268"/>
      <c r="Q148" s="268"/>
      <c r="T148" s="268"/>
      <c r="U148" s="268"/>
      <c r="V148"/>
      <c r="AB148" s="533"/>
    </row>
    <row r="149" spans="1:28" x14ac:dyDescent="0.3">
      <c r="K149" s="57">
        <f>K139</f>
        <v>0</v>
      </c>
      <c r="N149" s="57">
        <f>+N139-N134-N37</f>
        <v>592374.28999999992</v>
      </c>
      <c r="P149" s="268"/>
      <c r="Q149" s="268"/>
      <c r="T149" s="268"/>
      <c r="U149" s="268"/>
      <c r="V149"/>
    </row>
    <row r="150" spans="1:28" x14ac:dyDescent="0.3">
      <c r="K150" s="57">
        <v>285450.3</v>
      </c>
      <c r="N150" s="57">
        <v>2818402</v>
      </c>
      <c r="V150"/>
    </row>
    <row r="151" spans="1:28" x14ac:dyDescent="0.3">
      <c r="K151" s="57">
        <f>+K149-K150</f>
        <v>-285450.3</v>
      </c>
      <c r="N151" s="57">
        <f>+N149-N150</f>
        <v>-2226027.71</v>
      </c>
      <c r="P151" s="268"/>
      <c r="Q151" s="268"/>
      <c r="T151" s="268"/>
      <c r="U151" s="268"/>
      <c r="V151"/>
    </row>
    <row r="152" spans="1:28" x14ac:dyDescent="0.3">
      <c r="P152" s="268"/>
      <c r="Q152" s="268"/>
      <c r="T152" s="268"/>
      <c r="U152" s="268"/>
      <c r="V152"/>
    </row>
    <row r="153" spans="1:28" x14ac:dyDescent="0.3">
      <c r="V153"/>
    </row>
    <row r="154" spans="1:28" x14ac:dyDescent="0.3">
      <c r="V154"/>
    </row>
    <row r="155" spans="1:28" x14ac:dyDescent="0.3">
      <c r="V155"/>
    </row>
    <row r="156" spans="1:28" x14ac:dyDescent="0.3">
      <c r="P156" s="262"/>
      <c r="Q156" s="262"/>
      <c r="T156" s="262"/>
      <c r="U156" s="262"/>
      <c r="V156"/>
    </row>
    <row r="157" spans="1:28" x14ac:dyDescent="0.3">
      <c r="P157" s="262"/>
      <c r="Q157" s="262"/>
      <c r="T157" s="262"/>
      <c r="U157" s="262"/>
      <c r="V157"/>
    </row>
    <row r="158" spans="1:28" x14ac:dyDescent="0.3">
      <c r="V158"/>
    </row>
    <row r="159" spans="1:28" x14ac:dyDescent="0.3">
      <c r="P159" s="122"/>
      <c r="Q159" s="122"/>
      <c r="T159" s="122"/>
      <c r="U159" s="122"/>
      <c r="V159"/>
    </row>
    <row r="160" spans="1:28" x14ac:dyDescent="0.3">
      <c r="V160"/>
    </row>
    <row r="161" spans="22:22" x14ac:dyDescent="0.3">
      <c r="V161"/>
    </row>
    <row r="162" spans="22:22" x14ac:dyDescent="0.3">
      <c r="V162"/>
    </row>
    <row r="163" spans="22:22" x14ac:dyDescent="0.3">
      <c r="V163"/>
    </row>
    <row r="164" spans="22:22" x14ac:dyDescent="0.3">
      <c r="V164"/>
    </row>
    <row r="165" spans="22:22" x14ac:dyDescent="0.3">
      <c r="V165"/>
    </row>
    <row r="166" spans="22:22" x14ac:dyDescent="0.3">
      <c r="V166"/>
    </row>
    <row r="167" spans="22:22" x14ac:dyDescent="0.3">
      <c r="V167"/>
    </row>
    <row r="168" spans="22:22" x14ac:dyDescent="0.3">
      <c r="V168"/>
    </row>
    <row r="169" spans="22:22" x14ac:dyDescent="0.3">
      <c r="V169"/>
    </row>
    <row r="170" spans="22:22" x14ac:dyDescent="0.3">
      <c r="V170"/>
    </row>
    <row r="171" spans="22:22" x14ac:dyDescent="0.3">
      <c r="V171"/>
    </row>
    <row r="172" spans="22:22" x14ac:dyDescent="0.3">
      <c r="V172"/>
    </row>
    <row r="173" spans="22:22" x14ac:dyDescent="0.3">
      <c r="V173"/>
    </row>
    <row r="174" spans="22:22" x14ac:dyDescent="0.3">
      <c r="V174"/>
    </row>
    <row r="175" spans="22:22" x14ac:dyDescent="0.3">
      <c r="V175"/>
    </row>
    <row r="176" spans="22:22" x14ac:dyDescent="0.3">
      <c r="V176"/>
    </row>
    <row r="177" spans="22:22" x14ac:dyDescent="0.3">
      <c r="V177"/>
    </row>
    <row r="178" spans="22:22" x14ac:dyDescent="0.3">
      <c r="V178"/>
    </row>
    <row r="179" spans="22:22" x14ac:dyDescent="0.3">
      <c r="V179"/>
    </row>
    <row r="180" spans="22:22" x14ac:dyDescent="0.3">
      <c r="V180"/>
    </row>
    <row r="181" spans="22:22" x14ac:dyDescent="0.3">
      <c r="V181"/>
    </row>
    <row r="182" spans="22:22" x14ac:dyDescent="0.3">
      <c r="V182"/>
    </row>
    <row r="183" spans="22:22" x14ac:dyDescent="0.3">
      <c r="V183"/>
    </row>
    <row r="184" spans="22:22" x14ac:dyDescent="0.3">
      <c r="V184"/>
    </row>
    <row r="185" spans="22:22" x14ac:dyDescent="0.3">
      <c r="V185"/>
    </row>
    <row r="186" spans="22:22" x14ac:dyDescent="0.3">
      <c r="V186"/>
    </row>
    <row r="187" spans="22:22" x14ac:dyDescent="0.3">
      <c r="V187"/>
    </row>
    <row r="188" spans="22:22" x14ac:dyDescent="0.3">
      <c r="V188"/>
    </row>
    <row r="189" spans="22:22" x14ac:dyDescent="0.3">
      <c r="V189"/>
    </row>
    <row r="190" spans="22:22" x14ac:dyDescent="0.3">
      <c r="V190"/>
    </row>
    <row r="191" spans="22:22" x14ac:dyDescent="0.3">
      <c r="V191"/>
    </row>
    <row r="192" spans="22:22" x14ac:dyDescent="0.3">
      <c r="V192"/>
    </row>
    <row r="193" spans="22:22" x14ac:dyDescent="0.3">
      <c r="V193"/>
    </row>
    <row r="194" spans="22:22" x14ac:dyDescent="0.3">
      <c r="V194"/>
    </row>
    <row r="195" spans="22:22" x14ac:dyDescent="0.3">
      <c r="V195"/>
    </row>
    <row r="196" spans="22:22" x14ac:dyDescent="0.3">
      <c r="V196"/>
    </row>
    <row r="197" spans="22:22" x14ac:dyDescent="0.3">
      <c r="V197"/>
    </row>
    <row r="198" spans="22:22" x14ac:dyDescent="0.3">
      <c r="V198"/>
    </row>
    <row r="199" spans="22:22" x14ac:dyDescent="0.3">
      <c r="V199"/>
    </row>
    <row r="200" spans="22:22" x14ac:dyDescent="0.3">
      <c r="V200"/>
    </row>
    <row r="201" spans="22:22" x14ac:dyDescent="0.3">
      <c r="V201"/>
    </row>
    <row r="202" spans="22:22" x14ac:dyDescent="0.3">
      <c r="V202"/>
    </row>
    <row r="203" spans="22:22" x14ac:dyDescent="0.3">
      <c r="V203"/>
    </row>
    <row r="204" spans="22:22" x14ac:dyDescent="0.3">
      <c r="V204"/>
    </row>
    <row r="205" spans="22:22" x14ac:dyDescent="0.3">
      <c r="V205"/>
    </row>
    <row r="206" spans="22:22" x14ac:dyDescent="0.3">
      <c r="V206"/>
    </row>
    <row r="207" spans="22:22" x14ac:dyDescent="0.3">
      <c r="V207"/>
    </row>
    <row r="208" spans="22:22" x14ac:dyDescent="0.3">
      <c r="V208"/>
    </row>
    <row r="209" spans="22:22" x14ac:dyDescent="0.3">
      <c r="V209"/>
    </row>
    <row r="210" spans="22:22" x14ac:dyDescent="0.3">
      <c r="V210"/>
    </row>
    <row r="211" spans="22:22" x14ac:dyDescent="0.3">
      <c r="V211"/>
    </row>
    <row r="212" spans="22:22" x14ac:dyDescent="0.3">
      <c r="V212"/>
    </row>
    <row r="213" spans="22:22" x14ac:dyDescent="0.3">
      <c r="V213"/>
    </row>
    <row r="214" spans="22:22" x14ac:dyDescent="0.3">
      <c r="V214"/>
    </row>
    <row r="215" spans="22:22" x14ac:dyDescent="0.3">
      <c r="V215"/>
    </row>
    <row r="216" spans="22:22" x14ac:dyDescent="0.3">
      <c r="V216"/>
    </row>
    <row r="217" spans="22:22" x14ac:dyDescent="0.3">
      <c r="V217"/>
    </row>
    <row r="218" spans="22:22" x14ac:dyDescent="0.3">
      <c r="V218"/>
    </row>
    <row r="219" spans="22:22" x14ac:dyDescent="0.3">
      <c r="V219"/>
    </row>
    <row r="220" spans="22:22" x14ac:dyDescent="0.3">
      <c r="V220"/>
    </row>
    <row r="221" spans="22:22" x14ac:dyDescent="0.3">
      <c r="V221" s="78"/>
    </row>
    <row r="222" spans="22:22" x14ac:dyDescent="0.3">
      <c r="V222" s="78"/>
    </row>
    <row r="223" spans="22:22" x14ac:dyDescent="0.3">
      <c r="V223" s="78"/>
    </row>
    <row r="224" spans="22:22" x14ac:dyDescent="0.3">
      <c r="V224" s="78"/>
    </row>
    <row r="225" spans="22:22" x14ac:dyDescent="0.3">
      <c r="V225" s="78"/>
    </row>
    <row r="226" spans="22:22" x14ac:dyDescent="0.3">
      <c r="V226" s="78"/>
    </row>
    <row r="227" spans="22:22" x14ac:dyDescent="0.3">
      <c r="V227" s="78"/>
    </row>
    <row r="228" spans="22:22" x14ac:dyDescent="0.3">
      <c r="V228" s="78"/>
    </row>
    <row r="229" spans="22:22" x14ac:dyDescent="0.3">
      <c r="V229" s="78"/>
    </row>
    <row r="230" spans="22:22" x14ac:dyDescent="0.3">
      <c r="V230" s="78"/>
    </row>
    <row r="231" spans="22:22" x14ac:dyDescent="0.3">
      <c r="V231" s="78"/>
    </row>
    <row r="232" spans="22:22" x14ac:dyDescent="0.3">
      <c r="V232" s="78"/>
    </row>
    <row r="233" spans="22:22" x14ac:dyDescent="0.3">
      <c r="V233" s="78"/>
    </row>
    <row r="234" spans="22:22" x14ac:dyDescent="0.3">
      <c r="V234" s="78"/>
    </row>
    <row r="235" spans="22:22" x14ac:dyDescent="0.3">
      <c r="V235" s="78"/>
    </row>
    <row r="236" spans="22:22" x14ac:dyDescent="0.3">
      <c r="V236" s="78"/>
    </row>
    <row r="237" spans="22:22" x14ac:dyDescent="0.3">
      <c r="V237" s="78"/>
    </row>
    <row r="238" spans="22:22" x14ac:dyDescent="0.3">
      <c r="V238" s="78"/>
    </row>
    <row r="239" spans="22:22" x14ac:dyDescent="0.3">
      <c r="V239" s="78"/>
    </row>
    <row r="240" spans="22:22" x14ac:dyDescent="0.3">
      <c r="V240" s="78"/>
    </row>
    <row r="241" spans="22:22" x14ac:dyDescent="0.3">
      <c r="V241" s="78"/>
    </row>
    <row r="242" spans="22:22" x14ac:dyDescent="0.3">
      <c r="V242" s="78"/>
    </row>
    <row r="243" spans="22:22" x14ac:dyDescent="0.3">
      <c r="V243" s="78"/>
    </row>
    <row r="244" spans="22:22" x14ac:dyDescent="0.3">
      <c r="V244" s="78"/>
    </row>
    <row r="245" spans="22:22" x14ac:dyDescent="0.3">
      <c r="V245" s="78"/>
    </row>
    <row r="246" spans="22:22" x14ac:dyDescent="0.3">
      <c r="V246" s="78"/>
    </row>
    <row r="247" spans="22:22" x14ac:dyDescent="0.3">
      <c r="V247" s="78"/>
    </row>
    <row r="248" spans="22:22" x14ac:dyDescent="0.3">
      <c r="V248" s="78"/>
    </row>
    <row r="249" spans="22:22" x14ac:dyDescent="0.3">
      <c r="V249" s="78"/>
    </row>
    <row r="250" spans="22:22" x14ac:dyDescent="0.3">
      <c r="V250" s="78"/>
    </row>
    <row r="251" spans="22:22" x14ac:dyDescent="0.3">
      <c r="V251" s="78"/>
    </row>
    <row r="252" spans="22:22" x14ac:dyDescent="0.3">
      <c r="V252" s="78"/>
    </row>
    <row r="253" spans="22:22" x14ac:dyDescent="0.3">
      <c r="V253" s="78"/>
    </row>
    <row r="254" spans="22:22" x14ac:dyDescent="0.3">
      <c r="V254" s="78"/>
    </row>
    <row r="255" spans="22:22" x14ac:dyDescent="0.3">
      <c r="V255" s="78"/>
    </row>
    <row r="256" spans="22:22" x14ac:dyDescent="0.3">
      <c r="V256" s="78"/>
    </row>
    <row r="257" spans="22:22" x14ac:dyDescent="0.3">
      <c r="V257" s="78"/>
    </row>
    <row r="258" spans="22:22" x14ac:dyDescent="0.3">
      <c r="V258" s="78"/>
    </row>
    <row r="259" spans="22:22" x14ac:dyDescent="0.3">
      <c r="V259" s="78"/>
    </row>
    <row r="260" spans="22:22" x14ac:dyDescent="0.3">
      <c r="V260" s="78"/>
    </row>
    <row r="261" spans="22:22" x14ac:dyDescent="0.3">
      <c r="V261" s="78"/>
    </row>
    <row r="262" spans="22:22" x14ac:dyDescent="0.3">
      <c r="V262" s="78"/>
    </row>
    <row r="263" spans="22:22" x14ac:dyDescent="0.3">
      <c r="V263" s="78"/>
    </row>
    <row r="264" spans="22:22" x14ac:dyDescent="0.3">
      <c r="V264" s="78"/>
    </row>
    <row r="265" spans="22:22" x14ac:dyDescent="0.3">
      <c r="V265" s="78"/>
    </row>
    <row r="266" spans="22:22" x14ac:dyDescent="0.3">
      <c r="V266" s="78"/>
    </row>
    <row r="267" spans="22:22" x14ac:dyDescent="0.3">
      <c r="V267" s="78"/>
    </row>
    <row r="268" spans="22:22" x14ac:dyDescent="0.3">
      <c r="V268" s="78"/>
    </row>
    <row r="269" spans="22:22" x14ac:dyDescent="0.3">
      <c r="V269" s="78"/>
    </row>
    <row r="270" spans="22:22" x14ac:dyDescent="0.3">
      <c r="V270" s="78"/>
    </row>
    <row r="271" spans="22:22" x14ac:dyDescent="0.3">
      <c r="V271" s="78"/>
    </row>
    <row r="272" spans="22:22" x14ac:dyDescent="0.3">
      <c r="V272" s="78"/>
    </row>
    <row r="273" spans="22:22" x14ac:dyDescent="0.3">
      <c r="V273" s="78"/>
    </row>
    <row r="274" spans="22:22" x14ac:dyDescent="0.3">
      <c r="V274" s="78"/>
    </row>
    <row r="275" spans="22:22" x14ac:dyDescent="0.3">
      <c r="V275" s="78"/>
    </row>
    <row r="276" spans="22:22" x14ac:dyDescent="0.3">
      <c r="V276" s="78"/>
    </row>
    <row r="277" spans="22:22" x14ac:dyDescent="0.3">
      <c r="V277" s="78"/>
    </row>
    <row r="278" spans="22:22" x14ac:dyDescent="0.3">
      <c r="V278" s="78"/>
    </row>
    <row r="279" spans="22:22" x14ac:dyDescent="0.3">
      <c r="V279" s="78"/>
    </row>
    <row r="280" spans="22:22" x14ac:dyDescent="0.3">
      <c r="V280" s="78"/>
    </row>
    <row r="281" spans="22:22" x14ac:dyDescent="0.3">
      <c r="V281" s="78"/>
    </row>
    <row r="282" spans="22:22" x14ac:dyDescent="0.3">
      <c r="V282" s="78"/>
    </row>
    <row r="283" spans="22:22" x14ac:dyDescent="0.3">
      <c r="V283" s="78"/>
    </row>
    <row r="284" spans="22:22" x14ac:dyDescent="0.3">
      <c r="V284" s="78"/>
    </row>
    <row r="285" spans="22:22" x14ac:dyDescent="0.3">
      <c r="V285" s="78"/>
    </row>
    <row r="286" spans="22:22" x14ac:dyDescent="0.3">
      <c r="V286" s="78"/>
    </row>
    <row r="287" spans="22:22" x14ac:dyDescent="0.3">
      <c r="V287" s="78"/>
    </row>
    <row r="288" spans="22:22" x14ac:dyDescent="0.3">
      <c r="V288" s="78"/>
    </row>
    <row r="289" spans="22:22" x14ac:dyDescent="0.3">
      <c r="V289" s="78"/>
    </row>
    <row r="290" spans="22:22" x14ac:dyDescent="0.3">
      <c r="V290" s="78"/>
    </row>
    <row r="291" spans="22:22" x14ac:dyDescent="0.3">
      <c r="V291" s="78"/>
    </row>
    <row r="292" spans="22:22" x14ac:dyDescent="0.3">
      <c r="V292" s="78"/>
    </row>
    <row r="293" spans="22:22" x14ac:dyDescent="0.3">
      <c r="V293" s="78"/>
    </row>
    <row r="294" spans="22:22" x14ac:dyDescent="0.3">
      <c r="V294" s="78"/>
    </row>
    <row r="295" spans="22:22" x14ac:dyDescent="0.3">
      <c r="V295" s="78"/>
    </row>
    <row r="296" spans="22:22" x14ac:dyDescent="0.3">
      <c r="V296" s="78"/>
    </row>
    <row r="297" spans="22:22" x14ac:dyDescent="0.3">
      <c r="V297" s="78"/>
    </row>
    <row r="298" spans="22:22" x14ac:dyDescent="0.3">
      <c r="V298" s="78"/>
    </row>
    <row r="299" spans="22:22" x14ac:dyDescent="0.3">
      <c r="V299" s="78"/>
    </row>
    <row r="300" spans="22:22" x14ac:dyDescent="0.3">
      <c r="V300" s="78"/>
    </row>
    <row r="301" spans="22:22" x14ac:dyDescent="0.3">
      <c r="V301" s="78"/>
    </row>
    <row r="302" spans="22:22" x14ac:dyDescent="0.3">
      <c r="V302" s="78"/>
    </row>
    <row r="303" spans="22:22" x14ac:dyDescent="0.3">
      <c r="V303" s="78"/>
    </row>
    <row r="304" spans="22:22" x14ac:dyDescent="0.3">
      <c r="V304" s="78"/>
    </row>
    <row r="305" spans="22:22" x14ac:dyDescent="0.3">
      <c r="V305" s="78"/>
    </row>
    <row r="306" spans="22:22" x14ac:dyDescent="0.3">
      <c r="V306" s="78"/>
    </row>
    <row r="307" spans="22:22" x14ac:dyDescent="0.3">
      <c r="V307" s="78"/>
    </row>
    <row r="308" spans="22:22" x14ac:dyDescent="0.3">
      <c r="V308" s="78"/>
    </row>
    <row r="309" spans="22:22" x14ac:dyDescent="0.3">
      <c r="V309" s="78"/>
    </row>
    <row r="310" spans="22:22" x14ac:dyDescent="0.3">
      <c r="V310" s="78"/>
    </row>
    <row r="311" spans="22:22" x14ac:dyDescent="0.3">
      <c r="V311" s="78"/>
    </row>
    <row r="312" spans="22:22" x14ac:dyDescent="0.3">
      <c r="V312" s="78"/>
    </row>
    <row r="313" spans="22:22" x14ac:dyDescent="0.3">
      <c r="V313" s="78"/>
    </row>
    <row r="314" spans="22:22" x14ac:dyDescent="0.3">
      <c r="V314" s="78"/>
    </row>
    <row r="315" spans="22:22" x14ac:dyDescent="0.3">
      <c r="V315" s="78"/>
    </row>
    <row r="316" spans="22:22" x14ac:dyDescent="0.3">
      <c r="V316" s="78"/>
    </row>
    <row r="317" spans="22:22" x14ac:dyDescent="0.3">
      <c r="V317" s="78"/>
    </row>
    <row r="318" spans="22:22" x14ac:dyDescent="0.3">
      <c r="V318" s="78"/>
    </row>
    <row r="319" spans="22:22" x14ac:dyDescent="0.3">
      <c r="V319" s="78"/>
    </row>
    <row r="320" spans="22:22" x14ac:dyDescent="0.3">
      <c r="V320" s="78"/>
    </row>
    <row r="321" spans="22:22" x14ac:dyDescent="0.3">
      <c r="V321" s="78"/>
    </row>
    <row r="322" spans="22:22" x14ac:dyDescent="0.3">
      <c r="V322" s="78"/>
    </row>
    <row r="323" spans="22:22" x14ac:dyDescent="0.3">
      <c r="V323" s="78"/>
    </row>
    <row r="324" spans="22:22" x14ac:dyDescent="0.3">
      <c r="V324" s="78"/>
    </row>
    <row r="325" spans="22:22" x14ac:dyDescent="0.3">
      <c r="V325" s="78"/>
    </row>
    <row r="326" spans="22:22" x14ac:dyDescent="0.3">
      <c r="V326" s="78"/>
    </row>
    <row r="327" spans="22:22" x14ac:dyDescent="0.3">
      <c r="V327" s="78"/>
    </row>
    <row r="328" spans="22:22" x14ac:dyDescent="0.3">
      <c r="V328" s="78"/>
    </row>
    <row r="329" spans="22:22" x14ac:dyDescent="0.3">
      <c r="V329" s="78"/>
    </row>
    <row r="330" spans="22:22" x14ac:dyDescent="0.3">
      <c r="V330" s="78"/>
    </row>
    <row r="331" spans="22:22" x14ac:dyDescent="0.3">
      <c r="V331" s="78"/>
    </row>
    <row r="332" spans="22:22" x14ac:dyDescent="0.3">
      <c r="V332" s="78"/>
    </row>
    <row r="333" spans="22:22" x14ac:dyDescent="0.3">
      <c r="V333" s="78"/>
    </row>
    <row r="334" spans="22:22" x14ac:dyDescent="0.3">
      <c r="V334" s="78"/>
    </row>
    <row r="335" spans="22:22" x14ac:dyDescent="0.3">
      <c r="V335" s="78"/>
    </row>
    <row r="336" spans="22:22" x14ac:dyDescent="0.3">
      <c r="V336" s="78"/>
    </row>
    <row r="337" spans="22:22" x14ac:dyDescent="0.3">
      <c r="V337" s="78"/>
    </row>
    <row r="338" spans="22:22" x14ac:dyDescent="0.3">
      <c r="V338" s="78"/>
    </row>
    <row r="339" spans="22:22" x14ac:dyDescent="0.3">
      <c r="V339" s="78"/>
    </row>
    <row r="340" spans="22:22" x14ac:dyDescent="0.3">
      <c r="V340" s="78"/>
    </row>
    <row r="341" spans="22:22" x14ac:dyDescent="0.3">
      <c r="V341" s="78"/>
    </row>
    <row r="342" spans="22:22" x14ac:dyDescent="0.3">
      <c r="V342" s="78"/>
    </row>
    <row r="343" spans="22:22" x14ac:dyDescent="0.3">
      <c r="V343" s="78"/>
    </row>
    <row r="344" spans="22:22" x14ac:dyDescent="0.3">
      <c r="V344" s="78"/>
    </row>
    <row r="345" spans="22:22" x14ac:dyDescent="0.3">
      <c r="V345" s="78"/>
    </row>
    <row r="346" spans="22:22" x14ac:dyDescent="0.3">
      <c r="V346" s="78"/>
    </row>
    <row r="347" spans="22:22" x14ac:dyDescent="0.3">
      <c r="V347" s="78"/>
    </row>
    <row r="348" spans="22:22" x14ac:dyDescent="0.3">
      <c r="V348" s="78"/>
    </row>
    <row r="349" spans="22:22" x14ac:dyDescent="0.3">
      <c r="V349" s="78"/>
    </row>
    <row r="350" spans="22:22" x14ac:dyDescent="0.3">
      <c r="V350" s="78"/>
    </row>
    <row r="351" spans="22:22" x14ac:dyDescent="0.3">
      <c r="V351" s="78"/>
    </row>
    <row r="352" spans="22:22" x14ac:dyDescent="0.3">
      <c r="V352" s="78"/>
    </row>
    <row r="353" spans="22:22" x14ac:dyDescent="0.3">
      <c r="V353" s="78"/>
    </row>
    <row r="354" spans="22:22" x14ac:dyDescent="0.3">
      <c r="V354" s="78"/>
    </row>
    <row r="355" spans="22:22" x14ac:dyDescent="0.3">
      <c r="V355" s="78"/>
    </row>
    <row r="356" spans="22:22" x14ac:dyDescent="0.3">
      <c r="V356" s="78"/>
    </row>
    <row r="357" spans="22:22" x14ac:dyDescent="0.3">
      <c r="V357" s="78"/>
    </row>
    <row r="358" spans="22:22" x14ac:dyDescent="0.3">
      <c r="V358" s="78"/>
    </row>
    <row r="359" spans="22:22" x14ac:dyDescent="0.3">
      <c r="V359" s="78"/>
    </row>
    <row r="360" spans="22:22" x14ac:dyDescent="0.3">
      <c r="V360" s="78"/>
    </row>
    <row r="361" spans="22:22" x14ac:dyDescent="0.3">
      <c r="V361" s="78"/>
    </row>
    <row r="362" spans="22:22" x14ac:dyDescent="0.3">
      <c r="V362" s="78"/>
    </row>
    <row r="363" spans="22:22" x14ac:dyDescent="0.3">
      <c r="V363" s="78"/>
    </row>
    <row r="364" spans="22:22" x14ac:dyDescent="0.3">
      <c r="V364" s="78"/>
    </row>
    <row r="365" spans="22:22" x14ac:dyDescent="0.3">
      <c r="V365" s="78"/>
    </row>
    <row r="366" spans="22:22" x14ac:dyDescent="0.3">
      <c r="V366" s="78"/>
    </row>
    <row r="367" spans="22:22" x14ac:dyDescent="0.3">
      <c r="V367" s="78"/>
    </row>
    <row r="368" spans="22:22" x14ac:dyDescent="0.3">
      <c r="V368" s="78"/>
    </row>
    <row r="369" spans="22:22" x14ac:dyDescent="0.3">
      <c r="V369" s="78"/>
    </row>
    <row r="370" spans="22:22" x14ac:dyDescent="0.3">
      <c r="V370" s="78"/>
    </row>
    <row r="371" spans="22:22" x14ac:dyDescent="0.3">
      <c r="V371" s="78"/>
    </row>
    <row r="372" spans="22:22" x14ac:dyDescent="0.3">
      <c r="V372" s="78"/>
    </row>
    <row r="373" spans="22:22" x14ac:dyDescent="0.3">
      <c r="V373" s="78"/>
    </row>
    <row r="374" spans="22:22" x14ac:dyDescent="0.3">
      <c r="V374" s="78"/>
    </row>
    <row r="375" spans="22:22" x14ac:dyDescent="0.3">
      <c r="V375" s="78"/>
    </row>
    <row r="376" spans="22:22" x14ac:dyDescent="0.3">
      <c r="V376" s="78"/>
    </row>
    <row r="377" spans="22:22" x14ac:dyDescent="0.3">
      <c r="V377" s="78"/>
    </row>
    <row r="378" spans="22:22" x14ac:dyDescent="0.3">
      <c r="V378" s="78"/>
    </row>
    <row r="379" spans="22:22" x14ac:dyDescent="0.3">
      <c r="V379" s="78"/>
    </row>
    <row r="380" spans="22:22" x14ac:dyDescent="0.3">
      <c r="V380" s="78"/>
    </row>
    <row r="381" spans="22:22" x14ac:dyDescent="0.3">
      <c r="V381" s="78"/>
    </row>
    <row r="382" spans="22:22" x14ac:dyDescent="0.3">
      <c r="V382" s="78"/>
    </row>
    <row r="383" spans="22:22" x14ac:dyDescent="0.3">
      <c r="V383" s="78"/>
    </row>
    <row r="384" spans="22:22" x14ac:dyDescent="0.3">
      <c r="V384" s="78"/>
    </row>
    <row r="385" spans="22:22" x14ac:dyDescent="0.3">
      <c r="V385" s="78"/>
    </row>
    <row r="386" spans="22:22" x14ac:dyDescent="0.3">
      <c r="V386" s="78"/>
    </row>
    <row r="387" spans="22:22" x14ac:dyDescent="0.3">
      <c r="V387" s="78"/>
    </row>
    <row r="388" spans="22:22" x14ac:dyDescent="0.3">
      <c r="V388" s="78"/>
    </row>
    <row r="389" spans="22:22" x14ac:dyDescent="0.3">
      <c r="V389" s="78"/>
    </row>
    <row r="390" spans="22:22" x14ac:dyDescent="0.3">
      <c r="V390" s="78"/>
    </row>
    <row r="391" spans="22:22" x14ac:dyDescent="0.3">
      <c r="V391" s="78"/>
    </row>
    <row r="392" spans="22:22" x14ac:dyDescent="0.3">
      <c r="V392" s="78"/>
    </row>
    <row r="393" spans="22:22" x14ac:dyDescent="0.3">
      <c r="V393" s="78"/>
    </row>
    <row r="394" spans="22:22" x14ac:dyDescent="0.3">
      <c r="V394" s="78"/>
    </row>
    <row r="395" spans="22:22" x14ac:dyDescent="0.3">
      <c r="V395" s="78"/>
    </row>
    <row r="396" spans="22:22" x14ac:dyDescent="0.3">
      <c r="V396" s="78"/>
    </row>
    <row r="397" spans="22:22" x14ac:dyDescent="0.3">
      <c r="V397" s="78"/>
    </row>
    <row r="398" spans="22:22" x14ac:dyDescent="0.3">
      <c r="V398" s="78"/>
    </row>
    <row r="399" spans="22:22" x14ac:dyDescent="0.3">
      <c r="V399" s="78"/>
    </row>
    <row r="400" spans="22:22" x14ac:dyDescent="0.3">
      <c r="V400" s="78"/>
    </row>
    <row r="401" spans="22:22" x14ac:dyDescent="0.3">
      <c r="V401" s="78"/>
    </row>
    <row r="402" spans="22:22" x14ac:dyDescent="0.3">
      <c r="V402" s="78"/>
    </row>
    <row r="403" spans="22:22" x14ac:dyDescent="0.3">
      <c r="V403" s="78"/>
    </row>
    <row r="404" spans="22:22" x14ac:dyDescent="0.3">
      <c r="V404" s="78"/>
    </row>
    <row r="405" spans="22:22" x14ac:dyDescent="0.3">
      <c r="V405" s="78"/>
    </row>
    <row r="406" spans="22:22" x14ac:dyDescent="0.3">
      <c r="V406" s="78"/>
    </row>
    <row r="407" spans="22:22" x14ac:dyDescent="0.3">
      <c r="V407" s="78"/>
    </row>
    <row r="408" spans="22:22" x14ac:dyDescent="0.3">
      <c r="V408" s="78"/>
    </row>
    <row r="409" spans="22:22" x14ac:dyDescent="0.3">
      <c r="V409" s="78"/>
    </row>
    <row r="410" spans="22:22" x14ac:dyDescent="0.3">
      <c r="V410" s="78"/>
    </row>
    <row r="411" spans="22:22" x14ac:dyDescent="0.3">
      <c r="V411" s="78"/>
    </row>
    <row r="412" spans="22:22" x14ac:dyDescent="0.3">
      <c r="V412" s="78"/>
    </row>
    <row r="413" spans="22:22" x14ac:dyDescent="0.3">
      <c r="V413" s="78"/>
    </row>
    <row r="414" spans="22:22" x14ac:dyDescent="0.3">
      <c r="V414" s="78"/>
    </row>
    <row r="415" spans="22:22" x14ac:dyDescent="0.3">
      <c r="V415" s="78"/>
    </row>
    <row r="416" spans="22:22" x14ac:dyDescent="0.3">
      <c r="V416" s="78"/>
    </row>
    <row r="417" spans="22:22" x14ac:dyDescent="0.3">
      <c r="V417" s="78"/>
    </row>
    <row r="418" spans="22:22" x14ac:dyDescent="0.3">
      <c r="V418" s="78"/>
    </row>
    <row r="419" spans="22:22" x14ac:dyDescent="0.3">
      <c r="V419" s="78"/>
    </row>
    <row r="420" spans="22:22" x14ac:dyDescent="0.3">
      <c r="V420" s="78"/>
    </row>
    <row r="421" spans="22:22" x14ac:dyDescent="0.3">
      <c r="V421" s="78"/>
    </row>
    <row r="422" spans="22:22" x14ac:dyDescent="0.3">
      <c r="V422" s="78"/>
    </row>
    <row r="423" spans="22:22" x14ac:dyDescent="0.3">
      <c r="V423" s="78"/>
    </row>
    <row r="424" spans="22:22" x14ac:dyDescent="0.3">
      <c r="V424" s="78"/>
    </row>
    <row r="425" spans="22:22" x14ac:dyDescent="0.3">
      <c r="V425" s="78"/>
    </row>
    <row r="426" spans="22:22" x14ac:dyDescent="0.3">
      <c r="V426" s="78"/>
    </row>
    <row r="427" spans="22:22" x14ac:dyDescent="0.3">
      <c r="V427" s="78"/>
    </row>
    <row r="428" spans="22:22" x14ac:dyDescent="0.3">
      <c r="V428" s="78"/>
    </row>
    <row r="429" spans="22:22" x14ac:dyDescent="0.3">
      <c r="V429" s="78"/>
    </row>
    <row r="430" spans="22:22" x14ac:dyDescent="0.3">
      <c r="V430" s="78"/>
    </row>
    <row r="431" spans="22:22" x14ac:dyDescent="0.3">
      <c r="V431" s="78"/>
    </row>
    <row r="432" spans="22:22" x14ac:dyDescent="0.3">
      <c r="V432" s="78"/>
    </row>
    <row r="433" spans="22:22" x14ac:dyDescent="0.3">
      <c r="V433" s="78"/>
    </row>
    <row r="434" spans="22:22" x14ac:dyDescent="0.3">
      <c r="V434" s="78"/>
    </row>
    <row r="435" spans="22:22" x14ac:dyDescent="0.3">
      <c r="V435" s="78"/>
    </row>
    <row r="436" spans="22:22" x14ac:dyDescent="0.3">
      <c r="V436" s="78"/>
    </row>
    <row r="437" spans="22:22" x14ac:dyDescent="0.3">
      <c r="V437" s="78"/>
    </row>
    <row r="438" spans="22:22" x14ac:dyDescent="0.3">
      <c r="V438" s="78"/>
    </row>
    <row r="439" spans="22:22" x14ac:dyDescent="0.3">
      <c r="V439" s="78"/>
    </row>
    <row r="440" spans="22:22" x14ac:dyDescent="0.3">
      <c r="V440" s="78"/>
    </row>
    <row r="441" spans="22:22" x14ac:dyDescent="0.3">
      <c r="V441" s="78"/>
    </row>
    <row r="442" spans="22:22" x14ac:dyDescent="0.3">
      <c r="V442" s="78"/>
    </row>
    <row r="443" spans="22:22" x14ac:dyDescent="0.3">
      <c r="V443" s="78"/>
    </row>
    <row r="444" spans="22:22" x14ac:dyDescent="0.3">
      <c r="V444" s="78"/>
    </row>
    <row r="445" spans="22:22" x14ac:dyDescent="0.3">
      <c r="V445" s="78"/>
    </row>
    <row r="446" spans="22:22" x14ac:dyDescent="0.3">
      <c r="V446" s="78"/>
    </row>
    <row r="447" spans="22:22" x14ac:dyDescent="0.3">
      <c r="V447" s="78"/>
    </row>
    <row r="448" spans="22:22" x14ac:dyDescent="0.3">
      <c r="V448" s="78"/>
    </row>
    <row r="449" spans="22:22" x14ac:dyDescent="0.3">
      <c r="V449" s="78"/>
    </row>
    <row r="450" spans="22:22" x14ac:dyDescent="0.3">
      <c r="V450" s="78"/>
    </row>
    <row r="451" spans="22:22" x14ac:dyDescent="0.3">
      <c r="V451" s="78"/>
    </row>
    <row r="452" spans="22:22" x14ac:dyDescent="0.3">
      <c r="V452" s="78"/>
    </row>
    <row r="453" spans="22:22" x14ac:dyDescent="0.3">
      <c r="V453" s="78"/>
    </row>
    <row r="454" spans="22:22" x14ac:dyDescent="0.3">
      <c r="V454" s="78"/>
    </row>
    <row r="455" spans="22:22" x14ac:dyDescent="0.3">
      <c r="V455" s="78"/>
    </row>
    <row r="456" spans="22:22" x14ac:dyDescent="0.3">
      <c r="V456" s="78"/>
    </row>
    <row r="457" spans="22:22" x14ac:dyDescent="0.3">
      <c r="V457" s="78"/>
    </row>
    <row r="458" spans="22:22" x14ac:dyDescent="0.3">
      <c r="V458" s="78"/>
    </row>
    <row r="459" spans="22:22" x14ac:dyDescent="0.3">
      <c r="V459" s="78"/>
    </row>
    <row r="460" spans="22:22" x14ac:dyDescent="0.3">
      <c r="V460" s="78"/>
    </row>
    <row r="461" spans="22:22" x14ac:dyDescent="0.3">
      <c r="V461" s="78"/>
    </row>
    <row r="462" spans="22:22" x14ac:dyDescent="0.3">
      <c r="V462" s="78"/>
    </row>
    <row r="463" spans="22:22" x14ac:dyDescent="0.3">
      <c r="V463" s="78"/>
    </row>
    <row r="464" spans="22:22" x14ac:dyDescent="0.3">
      <c r="V464" s="78"/>
    </row>
    <row r="465" spans="22:22" x14ac:dyDescent="0.3">
      <c r="V465" s="78"/>
    </row>
    <row r="466" spans="22:22" x14ac:dyDescent="0.3">
      <c r="V466" s="78"/>
    </row>
    <row r="467" spans="22:22" x14ac:dyDescent="0.3">
      <c r="V467" s="78"/>
    </row>
    <row r="468" spans="22:22" x14ac:dyDescent="0.3">
      <c r="V468" s="78"/>
    </row>
    <row r="469" spans="22:22" x14ac:dyDescent="0.3">
      <c r="V469" s="78"/>
    </row>
    <row r="470" spans="22:22" x14ac:dyDescent="0.3">
      <c r="V470" s="78"/>
    </row>
    <row r="471" spans="22:22" x14ac:dyDescent="0.3">
      <c r="V471" s="78"/>
    </row>
    <row r="472" spans="22:22" x14ac:dyDescent="0.3">
      <c r="V472" s="78"/>
    </row>
    <row r="473" spans="22:22" x14ac:dyDescent="0.3">
      <c r="V473" s="78"/>
    </row>
    <row r="474" spans="22:22" x14ac:dyDescent="0.3">
      <c r="V474" s="78"/>
    </row>
    <row r="475" spans="22:22" x14ac:dyDescent="0.3">
      <c r="V475" s="78"/>
    </row>
    <row r="476" spans="22:22" x14ac:dyDescent="0.3">
      <c r="V476" s="78"/>
    </row>
    <row r="477" spans="22:22" x14ac:dyDescent="0.3">
      <c r="V477" s="78"/>
    </row>
    <row r="478" spans="22:22" x14ac:dyDescent="0.3">
      <c r="V478" s="78"/>
    </row>
    <row r="479" spans="22:22" x14ac:dyDescent="0.3">
      <c r="V479" s="78"/>
    </row>
    <row r="480" spans="22:22" x14ac:dyDescent="0.3">
      <c r="V480" s="78"/>
    </row>
    <row r="481" spans="22:22" x14ac:dyDescent="0.3">
      <c r="V481" s="78"/>
    </row>
    <row r="482" spans="22:22" x14ac:dyDescent="0.3">
      <c r="V482" s="78"/>
    </row>
    <row r="483" spans="22:22" x14ac:dyDescent="0.3">
      <c r="V483" s="78"/>
    </row>
    <row r="484" spans="22:22" x14ac:dyDescent="0.3">
      <c r="V484" s="78"/>
    </row>
    <row r="485" spans="22:22" x14ac:dyDescent="0.3">
      <c r="V485" s="78"/>
    </row>
    <row r="486" spans="22:22" x14ac:dyDescent="0.3">
      <c r="V486" s="78"/>
    </row>
    <row r="487" spans="22:22" x14ac:dyDescent="0.3">
      <c r="V487" s="78"/>
    </row>
    <row r="488" spans="22:22" x14ac:dyDescent="0.3">
      <c r="V488" s="78"/>
    </row>
    <row r="489" spans="22:22" x14ac:dyDescent="0.3">
      <c r="V489" s="78"/>
    </row>
    <row r="490" spans="22:22" x14ac:dyDescent="0.3">
      <c r="V490" s="78"/>
    </row>
    <row r="491" spans="22:22" x14ac:dyDescent="0.3">
      <c r="V491" s="78"/>
    </row>
    <row r="492" spans="22:22" x14ac:dyDescent="0.3">
      <c r="V492" s="78"/>
    </row>
    <row r="493" spans="22:22" x14ac:dyDescent="0.3">
      <c r="V493" s="78"/>
    </row>
    <row r="494" spans="22:22" x14ac:dyDescent="0.3">
      <c r="V494" s="78"/>
    </row>
    <row r="495" spans="22:22" x14ac:dyDescent="0.3">
      <c r="V495" s="78"/>
    </row>
    <row r="496" spans="22:22" x14ac:dyDescent="0.3">
      <c r="V496" s="78"/>
    </row>
    <row r="497" spans="22:22" x14ac:dyDescent="0.3">
      <c r="V497" s="78"/>
    </row>
    <row r="498" spans="22:22" x14ac:dyDescent="0.3">
      <c r="V498" s="78"/>
    </row>
    <row r="499" spans="22:22" x14ac:dyDescent="0.3">
      <c r="V499" s="78"/>
    </row>
    <row r="500" spans="22:22" x14ac:dyDescent="0.3">
      <c r="V500" s="78"/>
    </row>
    <row r="501" spans="22:22" x14ac:dyDescent="0.3">
      <c r="V501" s="78"/>
    </row>
    <row r="502" spans="22:22" x14ac:dyDescent="0.3">
      <c r="V502" s="78"/>
    </row>
    <row r="503" spans="22:22" x14ac:dyDescent="0.3">
      <c r="V503" s="78"/>
    </row>
    <row r="504" spans="22:22" x14ac:dyDescent="0.3">
      <c r="V504" s="78"/>
    </row>
    <row r="505" spans="22:22" x14ac:dyDescent="0.3">
      <c r="V505" s="78"/>
    </row>
    <row r="506" spans="22:22" x14ac:dyDescent="0.3">
      <c r="V506" s="78"/>
    </row>
    <row r="507" spans="22:22" x14ac:dyDescent="0.3">
      <c r="V507" s="78"/>
    </row>
    <row r="508" spans="22:22" x14ac:dyDescent="0.3">
      <c r="V508" s="78"/>
    </row>
    <row r="509" spans="22:22" x14ac:dyDescent="0.3">
      <c r="V509" s="78"/>
    </row>
    <row r="510" spans="22:22" x14ac:dyDescent="0.3">
      <c r="V510" s="78"/>
    </row>
    <row r="511" spans="22:22" x14ac:dyDescent="0.3">
      <c r="V511" s="78"/>
    </row>
    <row r="512" spans="22:22" x14ac:dyDescent="0.3">
      <c r="V512" s="78"/>
    </row>
    <row r="513" spans="22:22" x14ac:dyDescent="0.3">
      <c r="V513" s="78"/>
    </row>
    <row r="514" spans="22:22" x14ac:dyDescent="0.3">
      <c r="V514" s="78"/>
    </row>
    <row r="515" spans="22:22" x14ac:dyDescent="0.3">
      <c r="V515" s="78"/>
    </row>
    <row r="516" spans="22:22" x14ac:dyDescent="0.3">
      <c r="V516" s="78"/>
    </row>
    <row r="517" spans="22:22" x14ac:dyDescent="0.3">
      <c r="V517" s="78"/>
    </row>
    <row r="518" spans="22:22" x14ac:dyDescent="0.3">
      <c r="V518" s="78"/>
    </row>
    <row r="519" spans="22:22" x14ac:dyDescent="0.3">
      <c r="V519" s="78"/>
    </row>
    <row r="520" spans="22:22" x14ac:dyDescent="0.3">
      <c r="V520" s="78"/>
    </row>
    <row r="521" spans="22:22" x14ac:dyDescent="0.3">
      <c r="V521" s="78"/>
    </row>
    <row r="522" spans="22:22" x14ac:dyDescent="0.3">
      <c r="V522" s="78"/>
    </row>
    <row r="523" spans="22:22" x14ac:dyDescent="0.3">
      <c r="V523" s="78"/>
    </row>
    <row r="524" spans="22:22" x14ac:dyDescent="0.3">
      <c r="V524" s="78"/>
    </row>
    <row r="525" spans="22:22" x14ac:dyDescent="0.3">
      <c r="V525" s="78"/>
    </row>
    <row r="526" spans="22:22" x14ac:dyDescent="0.3">
      <c r="V526" s="78"/>
    </row>
    <row r="527" spans="22:22" x14ac:dyDescent="0.3">
      <c r="V527" s="78"/>
    </row>
    <row r="528" spans="22:22" x14ac:dyDescent="0.3">
      <c r="V528" s="78"/>
    </row>
    <row r="529" spans="22:22" x14ac:dyDescent="0.3">
      <c r="V529" s="78"/>
    </row>
    <row r="530" spans="22:22" x14ac:dyDescent="0.3">
      <c r="V530" s="78"/>
    </row>
    <row r="531" spans="22:22" x14ac:dyDescent="0.3">
      <c r="V531" s="78"/>
    </row>
    <row r="532" spans="22:22" x14ac:dyDescent="0.3">
      <c r="V532" s="78"/>
    </row>
    <row r="533" spans="22:22" x14ac:dyDescent="0.3">
      <c r="V533" s="78"/>
    </row>
    <row r="534" spans="22:22" x14ac:dyDescent="0.3">
      <c r="V534" s="78"/>
    </row>
    <row r="535" spans="22:22" x14ac:dyDescent="0.3">
      <c r="V535" s="78"/>
    </row>
    <row r="536" spans="22:22" x14ac:dyDescent="0.3">
      <c r="V536" s="78"/>
    </row>
    <row r="537" spans="22:22" x14ac:dyDescent="0.3">
      <c r="V537" s="78"/>
    </row>
    <row r="538" spans="22:22" x14ac:dyDescent="0.3">
      <c r="V538" s="78"/>
    </row>
    <row r="539" spans="22:22" x14ac:dyDescent="0.3">
      <c r="V539" s="78"/>
    </row>
    <row r="540" spans="22:22" x14ac:dyDescent="0.3">
      <c r="V540" s="78"/>
    </row>
    <row r="541" spans="22:22" x14ac:dyDescent="0.3">
      <c r="V541" s="78"/>
    </row>
    <row r="542" spans="22:22" x14ac:dyDescent="0.3">
      <c r="V542" s="78"/>
    </row>
    <row r="543" spans="22:22" x14ac:dyDescent="0.3">
      <c r="V543" s="78"/>
    </row>
    <row r="544" spans="22:22" x14ac:dyDescent="0.3">
      <c r="V544" s="78"/>
    </row>
    <row r="545" spans="22:22" x14ac:dyDescent="0.3">
      <c r="V545" s="78"/>
    </row>
    <row r="546" spans="22:22" x14ac:dyDescent="0.3">
      <c r="V546" s="78"/>
    </row>
    <row r="547" spans="22:22" x14ac:dyDescent="0.3">
      <c r="V547" s="78"/>
    </row>
    <row r="548" spans="22:22" x14ac:dyDescent="0.3">
      <c r="V548" s="78"/>
    </row>
    <row r="549" spans="22:22" x14ac:dyDescent="0.3">
      <c r="V549" s="78"/>
    </row>
    <row r="550" spans="22:22" x14ac:dyDescent="0.3">
      <c r="V550" s="78"/>
    </row>
    <row r="551" spans="22:22" x14ac:dyDescent="0.3">
      <c r="V551" s="78"/>
    </row>
    <row r="552" spans="22:22" x14ac:dyDescent="0.3">
      <c r="V552" s="78"/>
    </row>
    <row r="553" spans="22:22" x14ac:dyDescent="0.3">
      <c r="V553" s="78"/>
    </row>
    <row r="554" spans="22:22" x14ac:dyDescent="0.3">
      <c r="V554" s="78"/>
    </row>
    <row r="555" spans="22:22" x14ac:dyDescent="0.3">
      <c r="V555" s="78"/>
    </row>
    <row r="556" spans="22:22" x14ac:dyDescent="0.3">
      <c r="V556" s="78"/>
    </row>
    <row r="557" spans="22:22" x14ac:dyDescent="0.3">
      <c r="V557" s="78"/>
    </row>
    <row r="558" spans="22:22" x14ac:dyDescent="0.3">
      <c r="V558" s="78"/>
    </row>
    <row r="559" spans="22:22" x14ac:dyDescent="0.3">
      <c r="V559" s="78"/>
    </row>
    <row r="560" spans="22:22" x14ac:dyDescent="0.3">
      <c r="V560" s="78"/>
    </row>
    <row r="561" spans="22:22" x14ac:dyDescent="0.3">
      <c r="V561" s="78"/>
    </row>
    <row r="562" spans="22:22" x14ac:dyDescent="0.3">
      <c r="V562" s="78"/>
    </row>
    <row r="563" spans="22:22" x14ac:dyDescent="0.3">
      <c r="V563" s="78"/>
    </row>
    <row r="564" spans="22:22" x14ac:dyDescent="0.3">
      <c r="V564" s="78"/>
    </row>
    <row r="565" spans="22:22" x14ac:dyDescent="0.3">
      <c r="V565" s="78"/>
    </row>
    <row r="566" spans="22:22" x14ac:dyDescent="0.3">
      <c r="V566" s="78"/>
    </row>
    <row r="567" spans="22:22" x14ac:dyDescent="0.3">
      <c r="V567" s="78"/>
    </row>
    <row r="568" spans="22:22" x14ac:dyDescent="0.3">
      <c r="V568" s="78"/>
    </row>
    <row r="569" spans="22:22" x14ac:dyDescent="0.3">
      <c r="V569" s="78"/>
    </row>
    <row r="570" spans="22:22" x14ac:dyDescent="0.3">
      <c r="V570" s="78"/>
    </row>
    <row r="571" spans="22:22" x14ac:dyDescent="0.3">
      <c r="V571" s="78"/>
    </row>
    <row r="572" spans="22:22" x14ac:dyDescent="0.3">
      <c r="V572" s="78"/>
    </row>
    <row r="573" spans="22:22" x14ac:dyDescent="0.3">
      <c r="V573" s="78"/>
    </row>
    <row r="574" spans="22:22" x14ac:dyDescent="0.3">
      <c r="V574" s="78"/>
    </row>
    <row r="575" spans="22:22" x14ac:dyDescent="0.3">
      <c r="V575" s="78"/>
    </row>
    <row r="576" spans="22:22" x14ac:dyDescent="0.3">
      <c r="V576" s="78"/>
    </row>
    <row r="577" spans="22:22" x14ac:dyDescent="0.3">
      <c r="V577" s="78"/>
    </row>
    <row r="578" spans="22:22" x14ac:dyDescent="0.3">
      <c r="V578" s="78"/>
    </row>
    <row r="579" spans="22:22" x14ac:dyDescent="0.3">
      <c r="V579" s="78"/>
    </row>
    <row r="580" spans="22:22" x14ac:dyDescent="0.3">
      <c r="V580" s="78"/>
    </row>
    <row r="581" spans="22:22" x14ac:dyDescent="0.3">
      <c r="V581" s="78"/>
    </row>
    <row r="582" spans="22:22" x14ac:dyDescent="0.3">
      <c r="V582" s="78"/>
    </row>
    <row r="583" spans="22:22" x14ac:dyDescent="0.3">
      <c r="V583" s="78"/>
    </row>
    <row r="584" spans="22:22" x14ac:dyDescent="0.3">
      <c r="V584" s="78"/>
    </row>
    <row r="585" spans="22:22" x14ac:dyDescent="0.3">
      <c r="V585" s="78"/>
    </row>
    <row r="586" spans="22:22" x14ac:dyDescent="0.3">
      <c r="V586" s="78"/>
    </row>
    <row r="587" spans="22:22" x14ac:dyDescent="0.3">
      <c r="V587" s="78"/>
    </row>
    <row r="588" spans="22:22" x14ac:dyDescent="0.3">
      <c r="V588" s="78"/>
    </row>
    <row r="589" spans="22:22" x14ac:dyDescent="0.3">
      <c r="V589" s="78"/>
    </row>
    <row r="590" spans="22:22" x14ac:dyDescent="0.3">
      <c r="V590" s="78"/>
    </row>
    <row r="591" spans="22:22" x14ac:dyDescent="0.3">
      <c r="V591" s="78"/>
    </row>
    <row r="592" spans="22:22" x14ac:dyDescent="0.3">
      <c r="V592" s="78"/>
    </row>
    <row r="593" spans="22:22" x14ac:dyDescent="0.3">
      <c r="V593" s="78"/>
    </row>
    <row r="594" spans="22:22" x14ac:dyDescent="0.3">
      <c r="V594" s="78"/>
    </row>
    <row r="595" spans="22:22" x14ac:dyDescent="0.3">
      <c r="V595" s="78"/>
    </row>
    <row r="596" spans="22:22" x14ac:dyDescent="0.3">
      <c r="V596" s="78"/>
    </row>
    <row r="597" spans="22:22" x14ac:dyDescent="0.3">
      <c r="V597" s="78"/>
    </row>
    <row r="598" spans="22:22" x14ac:dyDescent="0.3">
      <c r="V598" s="78"/>
    </row>
    <row r="599" spans="22:22" x14ac:dyDescent="0.3">
      <c r="V599" s="78"/>
    </row>
    <row r="600" spans="22:22" x14ac:dyDescent="0.3">
      <c r="V600" s="78"/>
    </row>
    <row r="601" spans="22:22" x14ac:dyDescent="0.3">
      <c r="V601" s="78"/>
    </row>
    <row r="602" spans="22:22" x14ac:dyDescent="0.3">
      <c r="V602" s="78"/>
    </row>
    <row r="603" spans="22:22" x14ac:dyDescent="0.3">
      <c r="V603" s="78"/>
    </row>
    <row r="604" spans="22:22" x14ac:dyDescent="0.3">
      <c r="V604" s="78"/>
    </row>
    <row r="605" spans="22:22" x14ac:dyDescent="0.3">
      <c r="V605" s="78"/>
    </row>
    <row r="606" spans="22:22" x14ac:dyDescent="0.3">
      <c r="V606" s="78"/>
    </row>
    <row r="607" spans="22:22" x14ac:dyDescent="0.3">
      <c r="V607" s="78"/>
    </row>
    <row r="608" spans="22:22" x14ac:dyDescent="0.3">
      <c r="V608" s="78"/>
    </row>
    <row r="609" spans="22:22" x14ac:dyDescent="0.3">
      <c r="V609" s="78"/>
    </row>
    <row r="610" spans="22:22" x14ac:dyDescent="0.3">
      <c r="V610" s="78"/>
    </row>
    <row r="611" spans="22:22" x14ac:dyDescent="0.3">
      <c r="V611" s="78"/>
    </row>
    <row r="612" spans="22:22" x14ac:dyDescent="0.3">
      <c r="V612" s="78"/>
    </row>
    <row r="613" spans="22:22" x14ac:dyDescent="0.3">
      <c r="V613" s="78"/>
    </row>
    <row r="614" spans="22:22" x14ac:dyDescent="0.3">
      <c r="V614" s="78"/>
    </row>
    <row r="615" spans="22:22" x14ac:dyDescent="0.3">
      <c r="V615" s="78"/>
    </row>
    <row r="616" spans="22:22" x14ac:dyDescent="0.3">
      <c r="V616" s="78"/>
    </row>
    <row r="617" spans="22:22" x14ac:dyDescent="0.3">
      <c r="V617" s="78"/>
    </row>
    <row r="618" spans="22:22" x14ac:dyDescent="0.3">
      <c r="V618" s="78"/>
    </row>
    <row r="619" spans="22:22" x14ac:dyDescent="0.3">
      <c r="V619" s="78"/>
    </row>
    <row r="620" spans="22:22" x14ac:dyDescent="0.3">
      <c r="V620" s="78"/>
    </row>
    <row r="621" spans="22:22" x14ac:dyDescent="0.3">
      <c r="V621" s="78"/>
    </row>
    <row r="622" spans="22:22" x14ac:dyDescent="0.3">
      <c r="V622" s="78"/>
    </row>
    <row r="623" spans="22:22" x14ac:dyDescent="0.3">
      <c r="V623" s="78"/>
    </row>
    <row r="624" spans="22:22" x14ac:dyDescent="0.3">
      <c r="V624" s="78"/>
    </row>
    <row r="625" spans="22:22" x14ac:dyDescent="0.3">
      <c r="V625" s="78"/>
    </row>
    <row r="626" spans="22:22" x14ac:dyDescent="0.3">
      <c r="V626" s="78"/>
    </row>
    <row r="627" spans="22:22" x14ac:dyDescent="0.3">
      <c r="V627" s="78"/>
    </row>
    <row r="628" spans="22:22" x14ac:dyDescent="0.3">
      <c r="V628" s="78"/>
    </row>
    <row r="629" spans="22:22" x14ac:dyDescent="0.3">
      <c r="V629" s="78"/>
    </row>
    <row r="630" spans="22:22" x14ac:dyDescent="0.3">
      <c r="V630" s="78"/>
    </row>
    <row r="631" spans="22:22" x14ac:dyDescent="0.3">
      <c r="V631" s="78"/>
    </row>
    <row r="632" spans="22:22" x14ac:dyDescent="0.3">
      <c r="V632" s="78"/>
    </row>
    <row r="633" spans="22:22" x14ac:dyDescent="0.3">
      <c r="V633" s="78"/>
    </row>
    <row r="634" spans="22:22" x14ac:dyDescent="0.3">
      <c r="V634" s="78"/>
    </row>
    <row r="635" spans="22:22" x14ac:dyDescent="0.3">
      <c r="V635" s="78"/>
    </row>
    <row r="636" spans="22:22" x14ac:dyDescent="0.3">
      <c r="V636" s="78"/>
    </row>
    <row r="637" spans="22:22" x14ac:dyDescent="0.3">
      <c r="V637" s="78"/>
    </row>
    <row r="638" spans="22:22" x14ac:dyDescent="0.3">
      <c r="V638" s="78"/>
    </row>
    <row r="639" spans="22:22" x14ac:dyDescent="0.3">
      <c r="V639" s="78"/>
    </row>
    <row r="640" spans="22:22" x14ac:dyDescent="0.3">
      <c r="V640" s="78"/>
    </row>
    <row r="641" spans="22:22" x14ac:dyDescent="0.3">
      <c r="V641" s="78"/>
    </row>
    <row r="642" spans="22:22" x14ac:dyDescent="0.3">
      <c r="V642" s="78"/>
    </row>
    <row r="643" spans="22:22" x14ac:dyDescent="0.3">
      <c r="V643" s="78"/>
    </row>
    <row r="644" spans="22:22" x14ac:dyDescent="0.3">
      <c r="V644" s="78"/>
    </row>
    <row r="645" spans="22:22" x14ac:dyDescent="0.3">
      <c r="V645" s="78"/>
    </row>
    <row r="646" spans="22:22" x14ac:dyDescent="0.3">
      <c r="V646" s="78"/>
    </row>
    <row r="647" spans="22:22" x14ac:dyDescent="0.3">
      <c r="V647" s="78"/>
    </row>
    <row r="648" spans="22:22" x14ac:dyDescent="0.3">
      <c r="V648" s="78"/>
    </row>
    <row r="649" spans="22:22" x14ac:dyDescent="0.3">
      <c r="V649" s="78"/>
    </row>
    <row r="650" spans="22:22" x14ac:dyDescent="0.3">
      <c r="V650" s="78"/>
    </row>
    <row r="651" spans="22:22" x14ac:dyDescent="0.3">
      <c r="V651" s="78"/>
    </row>
    <row r="652" spans="22:22" x14ac:dyDescent="0.3">
      <c r="V652" s="78"/>
    </row>
    <row r="653" spans="22:22" x14ac:dyDescent="0.3">
      <c r="V653" s="78"/>
    </row>
    <row r="654" spans="22:22" x14ac:dyDescent="0.3">
      <c r="V654" s="78"/>
    </row>
    <row r="655" spans="22:22" x14ac:dyDescent="0.3">
      <c r="V655" s="78"/>
    </row>
    <row r="656" spans="22:22" x14ac:dyDescent="0.3">
      <c r="V656" s="78"/>
    </row>
    <row r="657" spans="22:22" x14ac:dyDescent="0.3">
      <c r="V657" s="78"/>
    </row>
    <row r="658" spans="22:22" x14ac:dyDescent="0.3">
      <c r="V658" s="78"/>
    </row>
    <row r="659" spans="22:22" x14ac:dyDescent="0.3">
      <c r="V659" s="78"/>
    </row>
    <row r="660" spans="22:22" x14ac:dyDescent="0.3">
      <c r="V660" s="78"/>
    </row>
    <row r="661" spans="22:22" x14ac:dyDescent="0.3">
      <c r="V661" s="78"/>
    </row>
    <row r="662" spans="22:22" x14ac:dyDescent="0.3">
      <c r="V662" s="78"/>
    </row>
    <row r="663" spans="22:22" x14ac:dyDescent="0.3">
      <c r="V663" s="78"/>
    </row>
    <row r="664" spans="22:22" x14ac:dyDescent="0.3">
      <c r="V664" s="78"/>
    </row>
    <row r="665" spans="22:22" x14ac:dyDescent="0.3">
      <c r="V665" s="78"/>
    </row>
    <row r="666" spans="22:22" x14ac:dyDescent="0.3">
      <c r="V666" s="78"/>
    </row>
    <row r="667" spans="22:22" x14ac:dyDescent="0.3">
      <c r="V667" s="78"/>
    </row>
    <row r="668" spans="22:22" x14ac:dyDescent="0.3">
      <c r="V668" s="78"/>
    </row>
    <row r="669" spans="22:22" x14ac:dyDescent="0.3">
      <c r="V669" s="78"/>
    </row>
    <row r="670" spans="22:22" x14ac:dyDescent="0.3">
      <c r="V670" s="78"/>
    </row>
    <row r="671" spans="22:22" x14ac:dyDescent="0.3">
      <c r="V671" s="78"/>
    </row>
    <row r="672" spans="22:22" x14ac:dyDescent="0.3">
      <c r="V672" s="78"/>
    </row>
    <row r="673" spans="22:22" x14ac:dyDescent="0.3">
      <c r="V673" s="78"/>
    </row>
    <row r="674" spans="22:22" x14ac:dyDescent="0.3">
      <c r="V674" s="78"/>
    </row>
    <row r="675" spans="22:22" x14ac:dyDescent="0.3">
      <c r="V675" s="78"/>
    </row>
    <row r="676" spans="22:22" x14ac:dyDescent="0.3">
      <c r="V676" s="78"/>
    </row>
    <row r="677" spans="22:22" x14ac:dyDescent="0.3">
      <c r="V677" s="78"/>
    </row>
    <row r="678" spans="22:22" x14ac:dyDescent="0.3">
      <c r="V678" s="78"/>
    </row>
    <row r="679" spans="22:22" x14ac:dyDescent="0.3">
      <c r="V679" s="78"/>
    </row>
    <row r="680" spans="22:22" x14ac:dyDescent="0.3">
      <c r="V680" s="78"/>
    </row>
    <row r="681" spans="22:22" x14ac:dyDescent="0.3">
      <c r="V681" s="78"/>
    </row>
    <row r="682" spans="22:22" x14ac:dyDescent="0.3">
      <c r="V682" s="78"/>
    </row>
    <row r="683" spans="22:22" x14ac:dyDescent="0.3">
      <c r="V683" s="78"/>
    </row>
    <row r="684" spans="22:22" x14ac:dyDescent="0.3">
      <c r="V684" s="78"/>
    </row>
    <row r="685" spans="22:22" x14ac:dyDescent="0.3">
      <c r="V685" s="78"/>
    </row>
    <row r="686" spans="22:22" x14ac:dyDescent="0.3">
      <c r="V686" s="78"/>
    </row>
    <row r="687" spans="22:22" x14ac:dyDescent="0.3">
      <c r="V687" s="78"/>
    </row>
    <row r="688" spans="22:22" x14ac:dyDescent="0.3">
      <c r="V688" s="78"/>
    </row>
    <row r="689" spans="22:22" x14ac:dyDescent="0.3">
      <c r="V689" s="78"/>
    </row>
    <row r="690" spans="22:22" x14ac:dyDescent="0.3">
      <c r="V690" s="78"/>
    </row>
    <row r="691" spans="22:22" x14ac:dyDescent="0.3">
      <c r="V691" s="78"/>
    </row>
    <row r="692" spans="22:22" x14ac:dyDescent="0.3">
      <c r="V692" s="78"/>
    </row>
    <row r="693" spans="22:22" x14ac:dyDescent="0.3">
      <c r="V693" s="78"/>
    </row>
    <row r="694" spans="22:22" x14ac:dyDescent="0.3">
      <c r="V694" s="78"/>
    </row>
    <row r="695" spans="22:22" x14ac:dyDescent="0.3">
      <c r="V695" s="78"/>
    </row>
    <row r="696" spans="22:22" x14ac:dyDescent="0.3">
      <c r="V696" s="78"/>
    </row>
    <row r="697" spans="22:22" x14ac:dyDescent="0.3">
      <c r="V697" s="78"/>
    </row>
    <row r="698" spans="22:22" x14ac:dyDescent="0.3">
      <c r="V698" s="78"/>
    </row>
    <row r="699" spans="22:22" x14ac:dyDescent="0.3">
      <c r="V699" s="78"/>
    </row>
    <row r="700" spans="22:22" x14ac:dyDescent="0.3">
      <c r="V700" s="78"/>
    </row>
    <row r="701" spans="22:22" x14ac:dyDescent="0.3">
      <c r="V701" s="78"/>
    </row>
    <row r="702" spans="22:22" x14ac:dyDescent="0.3">
      <c r="V702" s="78"/>
    </row>
    <row r="703" spans="22:22" x14ac:dyDescent="0.3">
      <c r="V703" s="78"/>
    </row>
    <row r="704" spans="22:22" x14ac:dyDescent="0.3">
      <c r="V704" s="78"/>
    </row>
    <row r="705" spans="22:22" x14ac:dyDescent="0.3">
      <c r="V705" s="78"/>
    </row>
    <row r="706" spans="22:22" x14ac:dyDescent="0.3">
      <c r="V706" s="78"/>
    </row>
    <row r="707" spans="22:22" x14ac:dyDescent="0.3">
      <c r="V707" s="78"/>
    </row>
    <row r="708" spans="22:22" x14ac:dyDescent="0.3">
      <c r="V708" s="78"/>
    </row>
    <row r="709" spans="22:22" x14ac:dyDescent="0.3">
      <c r="V709" s="78"/>
    </row>
    <row r="710" spans="22:22" x14ac:dyDescent="0.3">
      <c r="V710" s="78"/>
    </row>
    <row r="711" spans="22:22" x14ac:dyDescent="0.3">
      <c r="V711" s="78"/>
    </row>
    <row r="712" spans="22:22" x14ac:dyDescent="0.3">
      <c r="V712" s="78"/>
    </row>
    <row r="713" spans="22:22" x14ac:dyDescent="0.3">
      <c r="V713" s="78"/>
    </row>
    <row r="714" spans="22:22" x14ac:dyDescent="0.3">
      <c r="V714" s="78"/>
    </row>
    <row r="715" spans="22:22" x14ac:dyDescent="0.3">
      <c r="V715" s="78"/>
    </row>
    <row r="716" spans="22:22" x14ac:dyDescent="0.3">
      <c r="V716" s="78"/>
    </row>
    <row r="717" spans="22:22" x14ac:dyDescent="0.3">
      <c r="V717" s="78"/>
    </row>
    <row r="718" spans="22:22" x14ac:dyDescent="0.3">
      <c r="V718" s="78"/>
    </row>
    <row r="719" spans="22:22" x14ac:dyDescent="0.3">
      <c r="V719" s="78"/>
    </row>
    <row r="720" spans="22:22" x14ac:dyDescent="0.3">
      <c r="V720" s="78"/>
    </row>
    <row r="721" spans="22:22" x14ac:dyDescent="0.3">
      <c r="V721" s="78"/>
    </row>
    <row r="722" spans="22:22" x14ac:dyDescent="0.3">
      <c r="V722" s="78"/>
    </row>
    <row r="723" spans="22:22" x14ac:dyDescent="0.3">
      <c r="V723" s="78"/>
    </row>
    <row r="724" spans="22:22" x14ac:dyDescent="0.3">
      <c r="V724" s="78"/>
    </row>
    <row r="725" spans="22:22" x14ac:dyDescent="0.3">
      <c r="V725" s="78"/>
    </row>
    <row r="726" spans="22:22" x14ac:dyDescent="0.3">
      <c r="V726" s="78"/>
    </row>
    <row r="727" spans="22:22" x14ac:dyDescent="0.3">
      <c r="V727" s="78"/>
    </row>
    <row r="728" spans="22:22" x14ac:dyDescent="0.3">
      <c r="V728" s="78"/>
    </row>
    <row r="729" spans="22:22" x14ac:dyDescent="0.3">
      <c r="V729" s="78"/>
    </row>
    <row r="730" spans="22:22" x14ac:dyDescent="0.3">
      <c r="V730" s="78"/>
    </row>
    <row r="731" spans="22:22" x14ac:dyDescent="0.3">
      <c r="V731" s="78"/>
    </row>
    <row r="732" spans="22:22" x14ac:dyDescent="0.3">
      <c r="V732" s="78"/>
    </row>
    <row r="733" spans="22:22" x14ac:dyDescent="0.3">
      <c r="V733" s="78"/>
    </row>
    <row r="734" spans="22:22" x14ac:dyDescent="0.3">
      <c r="V734" s="78"/>
    </row>
    <row r="735" spans="22:22" x14ac:dyDescent="0.3">
      <c r="V735" s="78"/>
    </row>
    <row r="736" spans="22:22" x14ac:dyDescent="0.3">
      <c r="V736" s="78"/>
    </row>
    <row r="737" spans="22:22" x14ac:dyDescent="0.3">
      <c r="V737" s="78"/>
    </row>
    <row r="738" spans="22:22" x14ac:dyDescent="0.3">
      <c r="V738" s="78"/>
    </row>
    <row r="739" spans="22:22" x14ac:dyDescent="0.3">
      <c r="V739" s="78"/>
    </row>
    <row r="740" spans="22:22" x14ac:dyDescent="0.3">
      <c r="V740" s="78"/>
    </row>
    <row r="741" spans="22:22" x14ac:dyDescent="0.3">
      <c r="V741" s="78"/>
    </row>
    <row r="742" spans="22:22" x14ac:dyDescent="0.3">
      <c r="V742" s="78"/>
    </row>
    <row r="743" spans="22:22" x14ac:dyDescent="0.3">
      <c r="V743" s="78"/>
    </row>
    <row r="744" spans="22:22" x14ac:dyDescent="0.3">
      <c r="V744" s="78"/>
    </row>
    <row r="745" spans="22:22" x14ac:dyDescent="0.3">
      <c r="V745" s="78"/>
    </row>
    <row r="746" spans="22:22" x14ac:dyDescent="0.3">
      <c r="V746" s="78"/>
    </row>
    <row r="747" spans="22:22" x14ac:dyDescent="0.3">
      <c r="V747" s="78"/>
    </row>
    <row r="748" spans="22:22" x14ac:dyDescent="0.3">
      <c r="V748" s="78"/>
    </row>
    <row r="749" spans="22:22" x14ac:dyDescent="0.3">
      <c r="V749" s="78"/>
    </row>
    <row r="750" spans="22:22" x14ac:dyDescent="0.3">
      <c r="V750" s="78"/>
    </row>
    <row r="751" spans="22:22" x14ac:dyDescent="0.3">
      <c r="V751" s="78"/>
    </row>
    <row r="752" spans="22:22" x14ac:dyDescent="0.3">
      <c r="V752" s="78"/>
    </row>
    <row r="753" spans="22:22" x14ac:dyDescent="0.3">
      <c r="V753" s="78"/>
    </row>
    <row r="754" spans="22:22" x14ac:dyDescent="0.3">
      <c r="V754" s="78"/>
    </row>
    <row r="755" spans="22:22" x14ac:dyDescent="0.3">
      <c r="V755" s="78"/>
    </row>
    <row r="756" spans="22:22" x14ac:dyDescent="0.3">
      <c r="V756" s="78"/>
    </row>
    <row r="757" spans="22:22" x14ac:dyDescent="0.3">
      <c r="V757" s="78"/>
    </row>
    <row r="758" spans="22:22" x14ac:dyDescent="0.3">
      <c r="V758" s="78"/>
    </row>
    <row r="759" spans="22:22" x14ac:dyDescent="0.3">
      <c r="V759" s="78"/>
    </row>
    <row r="760" spans="22:22" x14ac:dyDescent="0.3">
      <c r="V760" s="78"/>
    </row>
    <row r="761" spans="22:22" x14ac:dyDescent="0.3">
      <c r="V761" s="78"/>
    </row>
    <row r="762" spans="22:22" x14ac:dyDescent="0.3">
      <c r="V762" s="78"/>
    </row>
    <row r="763" spans="22:22" x14ac:dyDescent="0.3">
      <c r="V763" s="78"/>
    </row>
    <row r="764" spans="22:22" x14ac:dyDescent="0.3">
      <c r="V764" s="78"/>
    </row>
    <row r="765" spans="22:22" x14ac:dyDescent="0.3">
      <c r="V765" s="78"/>
    </row>
    <row r="766" spans="22:22" x14ac:dyDescent="0.3">
      <c r="V766" s="78"/>
    </row>
    <row r="767" spans="22:22" x14ac:dyDescent="0.3">
      <c r="V767" s="78"/>
    </row>
    <row r="768" spans="22:22" x14ac:dyDescent="0.3">
      <c r="V768" s="78"/>
    </row>
    <row r="769" spans="22:22" x14ac:dyDescent="0.3">
      <c r="V769" s="78"/>
    </row>
    <row r="770" spans="22:22" x14ac:dyDescent="0.3">
      <c r="V770" s="78"/>
    </row>
    <row r="771" spans="22:22" x14ac:dyDescent="0.3">
      <c r="V771" s="78"/>
    </row>
    <row r="772" spans="22:22" x14ac:dyDescent="0.3">
      <c r="V772" s="78"/>
    </row>
    <row r="773" spans="22:22" x14ac:dyDescent="0.3">
      <c r="V773" s="78"/>
    </row>
    <row r="774" spans="22:22" x14ac:dyDescent="0.3">
      <c r="V774" s="78"/>
    </row>
    <row r="775" spans="22:22" x14ac:dyDescent="0.3">
      <c r="V775" s="78"/>
    </row>
    <row r="776" spans="22:22" x14ac:dyDescent="0.3">
      <c r="V776" s="78"/>
    </row>
    <row r="777" spans="22:22" x14ac:dyDescent="0.3">
      <c r="V777" s="78"/>
    </row>
    <row r="778" spans="22:22" x14ac:dyDescent="0.3">
      <c r="V778" s="78"/>
    </row>
    <row r="779" spans="22:22" x14ac:dyDescent="0.3">
      <c r="V779" s="78"/>
    </row>
    <row r="780" spans="22:22" x14ac:dyDescent="0.3">
      <c r="V780" s="78"/>
    </row>
    <row r="781" spans="22:22" x14ac:dyDescent="0.3">
      <c r="V781" s="78"/>
    </row>
    <row r="782" spans="22:22" x14ac:dyDescent="0.3">
      <c r="V782" s="78"/>
    </row>
    <row r="783" spans="22:22" x14ac:dyDescent="0.3">
      <c r="V783" s="78"/>
    </row>
    <row r="784" spans="22:22" x14ac:dyDescent="0.3">
      <c r="V784" s="78"/>
    </row>
    <row r="785" spans="22:22" x14ac:dyDescent="0.3">
      <c r="V785" s="78"/>
    </row>
    <row r="786" spans="22:22" x14ac:dyDescent="0.3">
      <c r="V786" s="78"/>
    </row>
    <row r="787" spans="22:22" x14ac:dyDescent="0.3">
      <c r="V787" s="78"/>
    </row>
    <row r="788" spans="22:22" x14ac:dyDescent="0.3">
      <c r="V788" s="78"/>
    </row>
    <row r="789" spans="22:22" x14ac:dyDescent="0.3">
      <c r="V789" s="78"/>
    </row>
    <row r="790" spans="22:22" x14ac:dyDescent="0.3">
      <c r="V790" s="78"/>
    </row>
    <row r="791" spans="22:22" x14ac:dyDescent="0.3">
      <c r="V791" s="78"/>
    </row>
    <row r="792" spans="22:22" x14ac:dyDescent="0.3">
      <c r="V792" s="78"/>
    </row>
    <row r="793" spans="22:22" x14ac:dyDescent="0.3">
      <c r="V793" s="78"/>
    </row>
    <row r="794" spans="22:22" x14ac:dyDescent="0.3">
      <c r="V794" s="78"/>
    </row>
    <row r="795" spans="22:22" x14ac:dyDescent="0.3">
      <c r="V795" s="78"/>
    </row>
    <row r="796" spans="22:22" x14ac:dyDescent="0.3">
      <c r="V796" s="78"/>
    </row>
    <row r="797" spans="22:22" x14ac:dyDescent="0.3">
      <c r="V797" s="78"/>
    </row>
    <row r="798" spans="22:22" x14ac:dyDescent="0.3">
      <c r="V798" s="78"/>
    </row>
    <row r="799" spans="22:22" x14ac:dyDescent="0.3">
      <c r="V799" s="78"/>
    </row>
    <row r="800" spans="22:22" x14ac:dyDescent="0.3">
      <c r="V800" s="78"/>
    </row>
    <row r="801" spans="22:22" x14ac:dyDescent="0.3">
      <c r="V801" s="78"/>
    </row>
    <row r="802" spans="22:22" x14ac:dyDescent="0.3">
      <c r="V802" s="78"/>
    </row>
    <row r="803" spans="22:22" x14ac:dyDescent="0.3">
      <c r="V803" s="78"/>
    </row>
    <row r="804" spans="22:22" x14ac:dyDescent="0.3">
      <c r="V804" s="78"/>
    </row>
    <row r="805" spans="22:22" x14ac:dyDescent="0.3">
      <c r="V805" s="78"/>
    </row>
    <row r="806" spans="22:22" x14ac:dyDescent="0.3">
      <c r="V806" s="78"/>
    </row>
    <row r="807" spans="22:22" x14ac:dyDescent="0.3">
      <c r="V807" s="78"/>
    </row>
    <row r="808" spans="22:22" x14ac:dyDescent="0.3">
      <c r="V808" s="78"/>
    </row>
    <row r="809" spans="22:22" x14ac:dyDescent="0.3">
      <c r="V809" s="78"/>
    </row>
    <row r="810" spans="22:22" x14ac:dyDescent="0.3">
      <c r="V810" s="78"/>
    </row>
    <row r="811" spans="22:22" x14ac:dyDescent="0.3">
      <c r="V811" s="78"/>
    </row>
    <row r="812" spans="22:22" x14ac:dyDescent="0.3">
      <c r="V812" s="78"/>
    </row>
    <row r="813" spans="22:22" x14ac:dyDescent="0.3">
      <c r="V813" s="78"/>
    </row>
    <row r="814" spans="22:22" x14ac:dyDescent="0.3">
      <c r="V814" s="78"/>
    </row>
    <row r="815" spans="22:22" x14ac:dyDescent="0.3">
      <c r="V815" s="78"/>
    </row>
    <row r="816" spans="22:22" x14ac:dyDescent="0.3">
      <c r="V816" s="78"/>
    </row>
    <row r="817" spans="22:22" x14ac:dyDescent="0.3">
      <c r="V817" s="78"/>
    </row>
    <row r="818" spans="22:22" x14ac:dyDescent="0.3">
      <c r="V818" s="78"/>
    </row>
    <row r="819" spans="22:22" x14ac:dyDescent="0.3">
      <c r="V819" s="78"/>
    </row>
    <row r="820" spans="22:22" x14ac:dyDescent="0.3">
      <c r="V820" s="78"/>
    </row>
    <row r="821" spans="22:22" x14ac:dyDescent="0.3">
      <c r="V821" s="78"/>
    </row>
    <row r="822" spans="22:22" x14ac:dyDescent="0.3">
      <c r="V822" s="78"/>
    </row>
    <row r="823" spans="22:22" x14ac:dyDescent="0.3">
      <c r="V823" s="78"/>
    </row>
    <row r="824" spans="22:22" x14ac:dyDescent="0.3">
      <c r="V824" s="78"/>
    </row>
    <row r="825" spans="22:22" x14ac:dyDescent="0.3">
      <c r="V825" s="78"/>
    </row>
    <row r="826" spans="22:22" x14ac:dyDescent="0.3">
      <c r="V826" s="78"/>
    </row>
    <row r="827" spans="22:22" x14ac:dyDescent="0.3">
      <c r="V827" s="78"/>
    </row>
    <row r="828" spans="22:22" x14ac:dyDescent="0.3">
      <c r="V828" s="78"/>
    </row>
    <row r="829" spans="22:22" x14ac:dyDescent="0.3">
      <c r="V829" s="78"/>
    </row>
    <row r="830" spans="22:22" x14ac:dyDescent="0.3">
      <c r="V830" s="78"/>
    </row>
    <row r="831" spans="22:22" x14ac:dyDescent="0.3">
      <c r="V831" s="78"/>
    </row>
    <row r="832" spans="22:22" x14ac:dyDescent="0.3">
      <c r="V832" s="78"/>
    </row>
    <row r="833" spans="22:22" x14ac:dyDescent="0.3">
      <c r="V833" s="78"/>
    </row>
    <row r="834" spans="22:22" x14ac:dyDescent="0.3">
      <c r="V834" s="78"/>
    </row>
    <row r="835" spans="22:22" x14ac:dyDescent="0.3">
      <c r="V835" s="78"/>
    </row>
    <row r="836" spans="22:22" x14ac:dyDescent="0.3">
      <c r="V836" s="78"/>
    </row>
    <row r="837" spans="22:22" x14ac:dyDescent="0.3">
      <c r="V837" s="78"/>
    </row>
    <row r="838" spans="22:22" x14ac:dyDescent="0.3">
      <c r="V838" s="78"/>
    </row>
    <row r="839" spans="22:22" x14ac:dyDescent="0.3">
      <c r="V839" s="78"/>
    </row>
    <row r="840" spans="22:22" x14ac:dyDescent="0.3">
      <c r="V840" s="78"/>
    </row>
    <row r="841" spans="22:22" x14ac:dyDescent="0.3">
      <c r="V841" s="78"/>
    </row>
    <row r="842" spans="22:22" x14ac:dyDescent="0.3">
      <c r="V842" s="78"/>
    </row>
    <row r="843" spans="22:22" x14ac:dyDescent="0.3">
      <c r="V843" s="78"/>
    </row>
    <row r="844" spans="22:22" x14ac:dyDescent="0.3">
      <c r="V844" s="78"/>
    </row>
    <row r="845" spans="22:22" x14ac:dyDescent="0.3">
      <c r="V845" s="78"/>
    </row>
    <row r="846" spans="22:22" x14ac:dyDescent="0.3">
      <c r="V846" s="78"/>
    </row>
    <row r="847" spans="22:22" x14ac:dyDescent="0.3">
      <c r="V847" s="78"/>
    </row>
    <row r="848" spans="22:22" x14ac:dyDescent="0.3">
      <c r="V848" s="78"/>
    </row>
    <row r="849" spans="22:22" x14ac:dyDescent="0.3">
      <c r="V849" s="78"/>
    </row>
    <row r="850" spans="22:22" x14ac:dyDescent="0.3">
      <c r="V850" s="78"/>
    </row>
    <row r="851" spans="22:22" x14ac:dyDescent="0.3">
      <c r="V851" s="78"/>
    </row>
    <row r="852" spans="22:22" x14ac:dyDescent="0.3">
      <c r="V852" s="78"/>
    </row>
    <row r="853" spans="22:22" x14ac:dyDescent="0.3">
      <c r="V853" s="78"/>
    </row>
    <row r="854" spans="22:22" x14ac:dyDescent="0.3">
      <c r="V854" s="78"/>
    </row>
    <row r="855" spans="22:22" x14ac:dyDescent="0.3">
      <c r="V855" s="78"/>
    </row>
    <row r="856" spans="22:22" x14ac:dyDescent="0.3">
      <c r="V856" s="78"/>
    </row>
    <row r="857" spans="22:22" x14ac:dyDescent="0.3">
      <c r="V857" s="78"/>
    </row>
    <row r="858" spans="22:22" x14ac:dyDescent="0.3">
      <c r="V858" s="78"/>
    </row>
    <row r="859" spans="22:22" x14ac:dyDescent="0.3">
      <c r="V859" s="78"/>
    </row>
    <row r="860" spans="22:22" x14ac:dyDescent="0.3">
      <c r="V860" s="78"/>
    </row>
    <row r="861" spans="22:22" x14ac:dyDescent="0.3">
      <c r="V861" s="78"/>
    </row>
    <row r="862" spans="22:22" x14ac:dyDescent="0.3">
      <c r="V862" s="78"/>
    </row>
    <row r="863" spans="22:22" x14ac:dyDescent="0.3">
      <c r="V863" s="78"/>
    </row>
    <row r="864" spans="22:22" x14ac:dyDescent="0.3">
      <c r="V864" s="78"/>
    </row>
    <row r="865" spans="22:22" x14ac:dyDescent="0.3">
      <c r="V865" s="78"/>
    </row>
    <row r="866" spans="22:22" x14ac:dyDescent="0.3">
      <c r="V866" s="78"/>
    </row>
    <row r="867" spans="22:22" x14ac:dyDescent="0.3">
      <c r="V867" s="78"/>
    </row>
    <row r="868" spans="22:22" x14ac:dyDescent="0.3">
      <c r="V868" s="78"/>
    </row>
    <row r="869" spans="22:22" x14ac:dyDescent="0.3">
      <c r="V869" s="78"/>
    </row>
    <row r="870" spans="22:22" x14ac:dyDescent="0.3">
      <c r="V870" s="78"/>
    </row>
    <row r="871" spans="22:22" x14ac:dyDescent="0.3">
      <c r="V871" s="78"/>
    </row>
    <row r="872" spans="22:22" x14ac:dyDescent="0.3">
      <c r="V872" s="78"/>
    </row>
    <row r="873" spans="22:22" x14ac:dyDescent="0.3">
      <c r="V873" s="78"/>
    </row>
    <row r="874" spans="22:22" x14ac:dyDescent="0.3">
      <c r="V874" s="78"/>
    </row>
    <row r="875" spans="22:22" x14ac:dyDescent="0.3">
      <c r="V875" s="78"/>
    </row>
    <row r="876" spans="22:22" x14ac:dyDescent="0.3">
      <c r="V876" s="78"/>
    </row>
    <row r="877" spans="22:22" x14ac:dyDescent="0.3">
      <c r="V877" s="78"/>
    </row>
    <row r="878" spans="22:22" x14ac:dyDescent="0.3">
      <c r="V878" s="78"/>
    </row>
    <row r="879" spans="22:22" x14ac:dyDescent="0.3">
      <c r="V879" s="78"/>
    </row>
    <row r="880" spans="22:22" x14ac:dyDescent="0.3">
      <c r="V880" s="78"/>
    </row>
    <row r="881" spans="22:22" x14ac:dyDescent="0.3">
      <c r="V881" s="78"/>
    </row>
    <row r="882" spans="22:22" x14ac:dyDescent="0.3">
      <c r="V882" s="78"/>
    </row>
    <row r="883" spans="22:22" x14ac:dyDescent="0.3">
      <c r="V883" s="78"/>
    </row>
    <row r="884" spans="22:22" x14ac:dyDescent="0.3">
      <c r="V884" s="78"/>
    </row>
    <row r="885" spans="22:22" x14ac:dyDescent="0.3">
      <c r="V885" s="78"/>
    </row>
    <row r="886" spans="22:22" x14ac:dyDescent="0.3">
      <c r="V886" s="78"/>
    </row>
    <row r="887" spans="22:22" x14ac:dyDescent="0.3">
      <c r="V887" s="78"/>
    </row>
    <row r="888" spans="22:22" x14ac:dyDescent="0.3">
      <c r="V888" s="78"/>
    </row>
    <row r="889" spans="22:22" x14ac:dyDescent="0.3">
      <c r="V889" s="78"/>
    </row>
    <row r="890" spans="22:22" x14ac:dyDescent="0.3">
      <c r="V890" s="78"/>
    </row>
    <row r="891" spans="22:22" x14ac:dyDescent="0.3">
      <c r="V891" s="78"/>
    </row>
    <row r="892" spans="22:22" x14ac:dyDescent="0.3">
      <c r="V892" s="78"/>
    </row>
    <row r="893" spans="22:22" x14ac:dyDescent="0.3">
      <c r="V893" s="78"/>
    </row>
    <row r="894" spans="22:22" x14ac:dyDescent="0.3">
      <c r="V894" s="78"/>
    </row>
    <row r="895" spans="22:22" x14ac:dyDescent="0.3">
      <c r="V895" s="78"/>
    </row>
    <row r="896" spans="22:22" x14ac:dyDescent="0.3">
      <c r="V896" s="78"/>
    </row>
    <row r="897" spans="22:22" x14ac:dyDescent="0.3">
      <c r="V897" s="78"/>
    </row>
  </sheetData>
  <pageMargins left="0.7" right="0.7" top="0.25" bottom="0.25" header="0.3" footer="0.3"/>
  <pageSetup orientation="landscape" r:id="rId1"/>
  <headerFooter>
    <oddFooter>&amp;L&amp;N&amp;D&amp;R&amp;P</oddFooter>
  </headerFooter>
  <rowBreaks count="3" manualBreakCount="3">
    <brk id="39" max="16383" man="1"/>
    <brk id="73" max="16383" man="1"/>
    <brk id="10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7"/>
  <sheetViews>
    <sheetView workbookViewId="0">
      <pane xSplit="1" ySplit="4" topLeftCell="C95" activePane="bottomRight" state="frozen"/>
      <selection pane="topRight" activeCell="B1" sqref="B1"/>
      <selection pane="bottomLeft" activeCell="A5" sqref="A5"/>
      <selection pane="bottomRight" activeCell="S106" sqref="S106"/>
    </sheetView>
  </sheetViews>
  <sheetFormatPr defaultRowHeight="14.4" x14ac:dyDescent="0.3"/>
  <cols>
    <col min="1" max="1" width="32.5546875" style="57" customWidth="1"/>
    <col min="2" max="2" width="11.109375" style="57" hidden="1" customWidth="1"/>
    <col min="3" max="3" width="12.5546875" style="57" customWidth="1"/>
    <col min="4" max="6" width="12.5546875" style="57" hidden="1" customWidth="1"/>
    <col min="7" max="7" width="11.6640625" style="57" hidden="1" customWidth="1"/>
    <col min="8" max="13" width="12.5546875" style="57" hidden="1" customWidth="1"/>
    <col min="14" max="14" width="11.5546875" style="57" customWidth="1"/>
    <col min="15" max="15" width="7.33203125" style="268" customWidth="1"/>
    <col min="16" max="16" width="12.44140625" style="57" customWidth="1"/>
    <col min="17" max="17" width="12" style="57" customWidth="1"/>
    <col min="18" max="18" width="35.109375" customWidth="1"/>
    <col min="19" max="19" width="15.6640625" customWidth="1"/>
    <col min="20" max="20" width="19.5546875" customWidth="1"/>
  </cols>
  <sheetData>
    <row r="1" spans="1:20" x14ac:dyDescent="0.3">
      <c r="A1" s="317"/>
      <c r="B1" s="317"/>
      <c r="C1" s="317"/>
      <c r="D1" s="317"/>
      <c r="E1" s="317"/>
      <c r="F1" s="317"/>
      <c r="G1" s="317"/>
      <c r="H1" s="317"/>
      <c r="I1" s="317"/>
      <c r="J1" s="317"/>
      <c r="K1" s="317"/>
      <c r="L1" s="317"/>
      <c r="M1" s="317"/>
      <c r="N1" s="317"/>
      <c r="O1" s="318"/>
      <c r="P1" s="319" t="s">
        <v>15</v>
      </c>
      <c r="Q1" s="319" t="s">
        <v>15</v>
      </c>
      <c r="R1" s="317"/>
    </row>
    <row r="2" spans="1:20" x14ac:dyDescent="0.3">
      <c r="A2" s="323" t="s">
        <v>495</v>
      </c>
      <c r="B2" s="320"/>
      <c r="C2" s="320"/>
      <c r="D2" s="320"/>
      <c r="E2" s="320"/>
      <c r="F2" s="320"/>
      <c r="G2" s="320"/>
      <c r="H2" s="320"/>
      <c r="I2" s="320"/>
      <c r="J2" s="320"/>
      <c r="K2" s="320"/>
      <c r="L2" s="320"/>
      <c r="M2" s="320"/>
      <c r="N2" s="321" t="s">
        <v>15</v>
      </c>
      <c r="O2" s="321" t="s">
        <v>15</v>
      </c>
      <c r="P2" s="322">
        <f>+'budget entry'!F3</f>
        <v>8126</v>
      </c>
      <c r="Q2" s="322">
        <v>8007</v>
      </c>
      <c r="R2" s="569" t="s">
        <v>18</v>
      </c>
    </row>
    <row r="3" spans="1:20" x14ac:dyDescent="0.3">
      <c r="A3" s="323" t="s">
        <v>305</v>
      </c>
      <c r="B3" s="323"/>
      <c r="C3" s="323"/>
      <c r="D3" s="323"/>
      <c r="E3" s="323"/>
      <c r="F3" s="323"/>
      <c r="G3" s="323"/>
      <c r="H3" s="323"/>
      <c r="I3" s="323"/>
      <c r="J3" s="323"/>
      <c r="K3" s="323"/>
      <c r="L3" s="323"/>
      <c r="M3" s="323"/>
      <c r="N3" s="323" t="s">
        <v>15</v>
      </c>
      <c r="O3" s="321" t="s">
        <v>15</v>
      </c>
      <c r="P3" s="322">
        <f>+'budget entry'!F4</f>
        <v>316</v>
      </c>
      <c r="Q3" s="322">
        <v>325</v>
      </c>
      <c r="R3" s="569" t="s">
        <v>458</v>
      </c>
    </row>
    <row r="4" spans="1:20" ht="16.5" customHeight="1" x14ac:dyDescent="0.3">
      <c r="A4" s="423" t="s">
        <v>747</v>
      </c>
      <c r="B4" s="323" t="s">
        <v>608</v>
      </c>
      <c r="C4" s="323" t="s">
        <v>609</v>
      </c>
      <c r="D4" s="323" t="s">
        <v>610</v>
      </c>
      <c r="E4" s="323" t="s">
        <v>611</v>
      </c>
      <c r="F4" s="323" t="s">
        <v>550</v>
      </c>
      <c r="G4" s="323" t="s">
        <v>551</v>
      </c>
      <c r="H4" s="323" t="s">
        <v>552</v>
      </c>
      <c r="I4" s="323" t="s">
        <v>553</v>
      </c>
      <c r="J4" s="323" t="s">
        <v>554</v>
      </c>
      <c r="K4" s="323" t="s">
        <v>555</v>
      </c>
      <c r="L4" s="323" t="s">
        <v>556</v>
      </c>
      <c r="M4" s="323" t="s">
        <v>557</v>
      </c>
      <c r="N4" s="323" t="s">
        <v>494</v>
      </c>
      <c r="O4" s="324">
        <f>2/12</f>
        <v>0.16666666666666666</v>
      </c>
      <c r="P4" s="380" t="s">
        <v>676</v>
      </c>
      <c r="Q4" s="380" t="s">
        <v>674</v>
      </c>
      <c r="R4" s="323" t="s">
        <v>319</v>
      </c>
    </row>
    <row r="5" spans="1:20" ht="16.5" customHeight="1" thickBot="1" x14ac:dyDescent="0.35">
      <c r="A5" s="260" t="s">
        <v>459</v>
      </c>
      <c r="B5" s="270" t="s">
        <v>15</v>
      </c>
      <c r="C5" s="270"/>
      <c r="D5" s="270"/>
      <c r="E5" s="270"/>
      <c r="F5" s="270"/>
      <c r="G5" s="270"/>
      <c r="H5" s="270"/>
      <c r="I5" s="270"/>
      <c r="J5" s="270"/>
      <c r="K5" s="270"/>
      <c r="L5" s="270"/>
      <c r="M5" s="270"/>
      <c r="N5" s="270"/>
      <c r="O5" s="285"/>
    </row>
    <row r="6" spans="1:20" x14ac:dyDescent="0.3">
      <c r="A6" s="78" t="s">
        <v>18</v>
      </c>
      <c r="B6" s="79">
        <v>220100.56</v>
      </c>
      <c r="C6" s="79">
        <v>220100.56</v>
      </c>
      <c r="D6" s="79"/>
      <c r="E6" s="79"/>
      <c r="F6" s="79"/>
      <c r="G6" s="79"/>
      <c r="H6" s="79"/>
      <c r="I6" s="79"/>
      <c r="J6" s="79"/>
      <c r="K6" s="79"/>
      <c r="L6" s="79"/>
      <c r="M6" s="79"/>
      <c r="N6" s="79">
        <f>SUM(B6:M6)</f>
        <v>440201.12</v>
      </c>
      <c r="O6" s="286">
        <f>N6/P6</f>
        <v>0.17143016477816167</v>
      </c>
      <c r="P6" s="79">
        <f>+'budget entry'!F6</f>
        <v>2567816</v>
      </c>
      <c r="Q6" s="79">
        <v>2602259</v>
      </c>
    </row>
    <row r="7" spans="1:20" x14ac:dyDescent="0.3">
      <c r="A7" s="78" t="s">
        <v>22</v>
      </c>
      <c r="B7" s="77">
        <v>7468.29</v>
      </c>
      <c r="C7" s="77"/>
      <c r="D7" s="77"/>
      <c r="E7" s="77"/>
      <c r="F7" s="77"/>
      <c r="G7" s="77"/>
      <c r="H7" s="77"/>
      <c r="I7" s="77"/>
      <c r="J7" s="77"/>
      <c r="K7" s="77"/>
      <c r="L7" s="77"/>
      <c r="M7" s="77"/>
      <c r="N7" s="79">
        <f t="shared" ref="N7:N16" si="0">SUM(B7:M7)</f>
        <v>7468.29</v>
      </c>
      <c r="O7" s="286">
        <f>N7/P7</f>
        <v>9.4535316455696197E-2</v>
      </c>
      <c r="P7" s="77">
        <f>+'budget entry'!F7</f>
        <v>79000</v>
      </c>
      <c r="Q7" s="77">
        <v>81250</v>
      </c>
      <c r="R7" s="172" t="s">
        <v>15</v>
      </c>
      <c r="T7" s="353"/>
    </row>
    <row r="8" spans="1:20" x14ac:dyDescent="0.3">
      <c r="A8" s="78" t="s">
        <v>433</v>
      </c>
      <c r="B8" s="77"/>
      <c r="C8" s="77"/>
      <c r="D8" s="77"/>
      <c r="E8" s="77"/>
      <c r="F8" s="77"/>
      <c r="G8" s="77"/>
      <c r="H8" s="77"/>
      <c r="I8" s="77"/>
      <c r="J8" s="77"/>
      <c r="K8" s="77"/>
      <c r="L8" s="77"/>
      <c r="M8" s="77"/>
      <c r="N8" s="79">
        <f t="shared" si="0"/>
        <v>0</v>
      </c>
      <c r="O8" s="286">
        <f>N8/P8</f>
        <v>0</v>
      </c>
      <c r="P8" s="77">
        <f>+'budget entry'!F24</f>
        <v>47972</v>
      </c>
      <c r="Q8" s="77">
        <v>37308</v>
      </c>
    </row>
    <row r="9" spans="1:20" x14ac:dyDescent="0.3">
      <c r="A9" s="78" t="s">
        <v>730</v>
      </c>
      <c r="B9" s="77"/>
      <c r="C9" s="77"/>
      <c r="D9" s="77"/>
      <c r="E9" s="77"/>
      <c r="F9" s="77"/>
      <c r="G9" s="77"/>
      <c r="H9" s="77"/>
      <c r="I9" s="77"/>
      <c r="J9" s="77"/>
      <c r="K9" s="77"/>
      <c r="L9" s="77"/>
      <c r="M9" s="77"/>
      <c r="N9" s="79">
        <f t="shared" si="0"/>
        <v>0</v>
      </c>
      <c r="O9" s="286" t="s">
        <v>15</v>
      </c>
      <c r="P9" s="77">
        <f>+'budget entry'!F9</f>
        <v>2500</v>
      </c>
      <c r="Q9" s="77">
        <v>5000</v>
      </c>
    </row>
    <row r="10" spans="1:20" x14ac:dyDescent="0.3">
      <c r="A10" s="78" t="s">
        <v>460</v>
      </c>
      <c r="B10" s="77"/>
      <c r="C10" s="77"/>
      <c r="D10" s="77"/>
      <c r="E10" s="77"/>
      <c r="F10" s="77"/>
      <c r="G10" s="77"/>
      <c r="H10" s="77"/>
      <c r="I10" s="77"/>
      <c r="J10" s="77"/>
      <c r="K10" s="77"/>
      <c r="L10" s="77"/>
      <c r="M10" s="77"/>
      <c r="N10" s="79">
        <f t="shared" si="0"/>
        <v>0</v>
      </c>
      <c r="O10" s="286">
        <f>N10/P10</f>
        <v>0</v>
      </c>
      <c r="P10" s="77">
        <f>+'budget entry'!F25</f>
        <v>30000</v>
      </c>
      <c r="Q10" s="77">
        <v>30000</v>
      </c>
    </row>
    <row r="11" spans="1:20" x14ac:dyDescent="0.3">
      <c r="A11" s="78" t="s">
        <v>731</v>
      </c>
      <c r="B11" s="77">
        <f>300+98</f>
        <v>398</v>
      </c>
      <c r="C11" s="77">
        <f>600+37202</f>
        <v>37802</v>
      </c>
      <c r="D11" s="77"/>
      <c r="E11" s="77"/>
      <c r="F11" s="77"/>
      <c r="G11" s="77"/>
      <c r="H11" s="77"/>
      <c r="I11" s="77"/>
      <c r="J11" s="77"/>
      <c r="K11" s="77"/>
      <c r="L11" s="77"/>
      <c r="M11" s="77"/>
      <c r="N11" s="79">
        <f t="shared" si="0"/>
        <v>38200</v>
      </c>
      <c r="O11" s="286">
        <f>N11/P11</f>
        <v>0.74726134585289516</v>
      </c>
      <c r="P11" s="77">
        <f>+'budget entry'!F19</f>
        <v>51120</v>
      </c>
      <c r="Q11" s="77">
        <v>43620</v>
      </c>
    </row>
    <row r="12" spans="1:20" ht="21.75" customHeight="1" x14ac:dyDescent="0.3">
      <c r="A12" s="78" t="s">
        <v>25</v>
      </c>
      <c r="B12" s="77">
        <f>7.86+6336.09</f>
        <v>6343.95</v>
      </c>
      <c r="C12" s="77">
        <f>1.69+1793.11</f>
        <v>1794.8</v>
      </c>
      <c r="D12" s="77"/>
      <c r="E12" s="77"/>
      <c r="F12" s="77"/>
      <c r="G12" s="77"/>
      <c r="H12" s="77"/>
      <c r="I12" s="77"/>
      <c r="J12" s="77"/>
      <c r="K12" s="77"/>
      <c r="L12" s="77"/>
      <c r="M12" s="77"/>
      <c r="N12" s="79">
        <f t="shared" si="0"/>
        <v>8138.75</v>
      </c>
      <c r="O12" s="286">
        <f>N12/P12</f>
        <v>0.32883838383838382</v>
      </c>
      <c r="P12" s="77">
        <f>+'budget entry'!F21+'budget entry'!F22</f>
        <v>24750</v>
      </c>
      <c r="Q12" s="77">
        <v>13000</v>
      </c>
      <c r="R12" t="s">
        <v>663</v>
      </c>
    </row>
    <row r="13" spans="1:20" ht="19.5" customHeight="1" x14ac:dyDescent="0.3">
      <c r="A13" s="78" t="s">
        <v>580</v>
      </c>
      <c r="B13" s="77"/>
      <c r="C13" s="77"/>
      <c r="D13" s="77"/>
      <c r="E13" s="77"/>
      <c r="F13" s="77"/>
      <c r="G13" s="77"/>
      <c r="H13" s="77"/>
      <c r="I13" s="77"/>
      <c r="J13" s="77"/>
      <c r="K13" s="77"/>
      <c r="L13" s="77"/>
      <c r="M13" s="77"/>
      <c r="N13" s="79">
        <f t="shared" si="0"/>
        <v>0</v>
      </c>
      <c r="O13" s="286"/>
      <c r="P13" s="77"/>
      <c r="Q13" s="77"/>
    </row>
    <row r="14" spans="1:20" x14ac:dyDescent="0.3">
      <c r="A14" s="78" t="s">
        <v>715</v>
      </c>
      <c r="B14" s="77"/>
      <c r="C14" s="77"/>
      <c r="D14" s="77"/>
      <c r="E14" s="77"/>
      <c r="F14" s="77"/>
      <c r="G14" s="77"/>
      <c r="H14" s="77"/>
      <c r="I14" s="77"/>
      <c r="J14" s="77"/>
      <c r="K14" s="77"/>
      <c r="L14" s="77"/>
      <c r="M14" s="77"/>
      <c r="N14" s="79">
        <f t="shared" si="0"/>
        <v>0</v>
      </c>
      <c r="O14" s="286"/>
      <c r="P14" s="77">
        <f>+'budget entry'!F27</f>
        <v>48864</v>
      </c>
      <c r="Q14" s="77"/>
    </row>
    <row r="15" spans="1:20" ht="12" customHeight="1" x14ac:dyDescent="0.3">
      <c r="A15" s="78" t="s">
        <v>626</v>
      </c>
      <c r="B15" s="77"/>
      <c r="C15" s="77">
        <v>280.95</v>
      </c>
      <c r="D15" s="77"/>
      <c r="E15" s="77"/>
      <c r="F15" s="77"/>
      <c r="G15" s="77"/>
      <c r="H15" s="77"/>
      <c r="I15" s="77"/>
      <c r="J15" s="77"/>
      <c r="K15" s="77"/>
      <c r="L15" s="77"/>
      <c r="M15" s="77"/>
      <c r="N15" s="79">
        <f t="shared" si="0"/>
        <v>280.95</v>
      </c>
      <c r="O15" s="286">
        <f>N15/P15</f>
        <v>9.3650000000000001E-3</v>
      </c>
      <c r="P15" s="77">
        <f>+'budget entry'!F26</f>
        <v>30000</v>
      </c>
      <c r="Q15" s="77">
        <v>30000</v>
      </c>
      <c r="R15" s="172" t="s">
        <v>655</v>
      </c>
    </row>
    <row r="16" spans="1:20" x14ac:dyDescent="0.3">
      <c r="A16" s="78" t="s">
        <v>643</v>
      </c>
      <c r="B16" s="81"/>
      <c r="C16" s="81"/>
      <c r="D16" s="81"/>
      <c r="E16" s="81"/>
      <c r="F16" s="81"/>
      <c r="G16" s="81"/>
      <c r="H16" s="81"/>
      <c r="I16" s="81"/>
      <c r="J16" s="81"/>
      <c r="K16" s="81"/>
      <c r="L16" s="81"/>
      <c r="M16" s="81"/>
      <c r="N16" s="103">
        <f t="shared" si="0"/>
        <v>0</v>
      </c>
      <c r="O16" s="286">
        <f>N16/P16</f>
        <v>0</v>
      </c>
      <c r="P16" s="81">
        <f>+'budget entry'!F30+'budget entry'!F29</f>
        <v>15500</v>
      </c>
      <c r="Q16" s="81">
        <v>5500</v>
      </c>
      <c r="R16" t="s">
        <v>15</v>
      </c>
    </row>
    <row r="17" spans="1:20" x14ac:dyDescent="0.3">
      <c r="A17" s="316" t="s">
        <v>493</v>
      </c>
      <c r="B17" s="316">
        <f t="shared" ref="B17:N17" si="1">SUM(B6:B16)</f>
        <v>234310.80000000002</v>
      </c>
      <c r="C17" s="316">
        <f t="shared" si="1"/>
        <v>259978.31</v>
      </c>
      <c r="D17" s="316">
        <f t="shared" si="1"/>
        <v>0</v>
      </c>
      <c r="E17" s="316">
        <f t="shared" si="1"/>
        <v>0</v>
      </c>
      <c r="F17" s="316">
        <f t="shared" si="1"/>
        <v>0</v>
      </c>
      <c r="G17" s="316">
        <f t="shared" si="1"/>
        <v>0</v>
      </c>
      <c r="H17" s="316">
        <f t="shared" si="1"/>
        <v>0</v>
      </c>
      <c r="I17" s="316">
        <f t="shared" si="1"/>
        <v>0</v>
      </c>
      <c r="J17" s="316">
        <f t="shared" si="1"/>
        <v>0</v>
      </c>
      <c r="K17" s="316">
        <f t="shared" si="1"/>
        <v>0</v>
      </c>
      <c r="L17" s="316">
        <f t="shared" si="1"/>
        <v>0</v>
      </c>
      <c r="M17" s="316">
        <f t="shared" si="1"/>
        <v>0</v>
      </c>
      <c r="N17" s="316">
        <f t="shared" si="1"/>
        <v>494289.11</v>
      </c>
      <c r="O17" s="325">
        <f>N17/P17</f>
        <v>0.17059028714881197</v>
      </c>
      <c r="P17" s="316">
        <f>SUM(P6:P16)</f>
        <v>2897522</v>
      </c>
      <c r="Q17" s="316">
        <f>SUM(Q6:Q16)</f>
        <v>2847937</v>
      </c>
      <c r="R17" s="459" t="s">
        <v>15</v>
      </c>
    </row>
    <row r="18" spans="1:20" ht="15" thickBot="1" x14ac:dyDescent="0.35">
      <c r="A18" s="260" t="s">
        <v>463</v>
      </c>
      <c r="B18" s="259"/>
      <c r="C18" s="259"/>
      <c r="D18" s="259"/>
      <c r="E18" s="259"/>
      <c r="F18" s="259"/>
      <c r="G18" s="259"/>
      <c r="H18" s="259"/>
      <c r="I18" s="259"/>
      <c r="J18" s="259"/>
      <c r="K18" s="259"/>
      <c r="L18" s="259"/>
      <c r="M18" s="259"/>
      <c r="N18" s="259"/>
      <c r="O18" s="288"/>
      <c r="P18" s="259"/>
      <c r="Q18" s="259"/>
    </row>
    <row r="19" spans="1:20" x14ac:dyDescent="0.3">
      <c r="A19" s="261" t="s">
        <v>30</v>
      </c>
      <c r="B19" s="262"/>
      <c r="C19" s="262"/>
      <c r="D19" s="262"/>
      <c r="E19" s="262"/>
      <c r="F19" s="262"/>
      <c r="G19" s="262"/>
      <c r="H19" s="262"/>
      <c r="I19" s="262"/>
      <c r="J19" s="262"/>
      <c r="K19" s="262"/>
      <c r="L19" s="262"/>
      <c r="M19" s="262"/>
      <c r="N19" s="262"/>
      <c r="P19" s="262"/>
      <c r="Q19" s="262"/>
    </row>
    <row r="20" spans="1:20" x14ac:dyDescent="0.3">
      <c r="A20" s="102" t="s">
        <v>1</v>
      </c>
      <c r="B20" s="262"/>
      <c r="C20" s="262"/>
      <c r="D20" s="262"/>
      <c r="E20" s="262"/>
      <c r="F20" s="262"/>
      <c r="G20" s="262"/>
      <c r="H20" s="262"/>
      <c r="I20" s="262"/>
      <c r="J20" s="262"/>
      <c r="K20" s="262"/>
      <c r="L20" s="262"/>
      <c r="M20" s="262"/>
      <c r="N20" s="262"/>
      <c r="P20" s="262"/>
      <c r="Q20" s="262"/>
    </row>
    <row r="21" spans="1:20" x14ac:dyDescent="0.3">
      <c r="A21" s="78" t="s">
        <v>111</v>
      </c>
      <c r="B21" s="78">
        <v>48937.01</v>
      </c>
      <c r="C21" s="78">
        <f>61834.71</f>
        <v>61834.71</v>
      </c>
      <c r="D21" s="78"/>
      <c r="E21" s="78"/>
      <c r="F21" s="78"/>
      <c r="G21" s="78"/>
      <c r="H21" s="78"/>
      <c r="I21" s="78"/>
      <c r="J21" s="78"/>
      <c r="K21" s="78"/>
      <c r="L21" s="78"/>
      <c r="M21" s="78"/>
      <c r="N21" s="79">
        <f>SUM(B21:M21)</f>
        <v>110771.72</v>
      </c>
      <c r="O21" s="289">
        <f>N21/P21</f>
        <v>0.14868687248322149</v>
      </c>
      <c r="P21" s="78">
        <f>+'budget entry'!F34</f>
        <v>745000</v>
      </c>
      <c r="Q21" s="78">
        <v>725207</v>
      </c>
      <c r="R21" t="s">
        <v>15</v>
      </c>
    </row>
    <row r="22" spans="1:20" x14ac:dyDescent="0.3">
      <c r="A22" s="78" t="s">
        <v>667</v>
      </c>
      <c r="B22" s="78">
        <v>2000</v>
      </c>
      <c r="C22" s="78"/>
      <c r="D22" s="78"/>
      <c r="E22" s="78"/>
      <c r="F22" s="78"/>
      <c r="G22" s="78"/>
      <c r="H22" s="78"/>
      <c r="I22" s="78"/>
      <c r="J22" s="78"/>
      <c r="K22" s="78"/>
      <c r="L22" s="78"/>
      <c r="M22" s="78"/>
      <c r="N22" s="79">
        <f>SUM(B22:M22)</f>
        <v>2000</v>
      </c>
      <c r="O22" s="289"/>
      <c r="P22" s="78">
        <f>'budget entry'!F35</f>
        <v>10000</v>
      </c>
      <c r="Q22" s="78">
        <v>8000</v>
      </c>
    </row>
    <row r="23" spans="1:20" x14ac:dyDescent="0.3">
      <c r="A23" s="78" t="s">
        <v>291</v>
      </c>
      <c r="B23" s="78"/>
      <c r="C23" s="78"/>
      <c r="D23" s="78"/>
      <c r="E23" s="78"/>
      <c r="F23" s="78"/>
      <c r="G23" s="78"/>
      <c r="H23" s="78"/>
      <c r="I23" s="78"/>
      <c r="J23" s="78"/>
      <c r="K23" s="78"/>
      <c r="L23" s="78"/>
      <c r="M23" s="78"/>
      <c r="N23" s="79"/>
      <c r="O23" s="289"/>
      <c r="P23" s="78">
        <f>+'budget entry'!F37</f>
        <v>55564</v>
      </c>
      <c r="Q23" s="78"/>
    </row>
    <row r="24" spans="1:20" ht="15.75" customHeight="1" x14ac:dyDescent="0.3">
      <c r="A24" s="78" t="s">
        <v>112</v>
      </c>
      <c r="B24" s="103"/>
      <c r="C24" s="103">
        <v>675.05</v>
      </c>
      <c r="D24" s="103"/>
      <c r="E24" s="103"/>
      <c r="F24" s="103"/>
      <c r="G24" s="103"/>
      <c r="H24" s="103"/>
      <c r="I24" s="103"/>
      <c r="J24" s="103"/>
      <c r="K24" s="103"/>
      <c r="L24" s="103"/>
      <c r="M24" s="103"/>
      <c r="N24" s="103">
        <f>SUM(B24:M24)</f>
        <v>675.05</v>
      </c>
      <c r="O24" s="289">
        <f>N24/P24</f>
        <v>6.7504999999999996E-2</v>
      </c>
      <c r="P24" s="103">
        <f>+'budget entry'!F36</f>
        <v>10000</v>
      </c>
      <c r="Q24" s="103">
        <v>10000</v>
      </c>
    </row>
    <row r="25" spans="1:20" x14ac:dyDescent="0.3">
      <c r="A25" s="78" t="s">
        <v>114</v>
      </c>
      <c r="B25" s="77">
        <f t="shared" ref="B25:N25" si="2">SUM(B21:B24)</f>
        <v>50937.01</v>
      </c>
      <c r="C25" s="77">
        <f t="shared" si="2"/>
        <v>62509.760000000002</v>
      </c>
      <c r="D25" s="77">
        <f t="shared" si="2"/>
        <v>0</v>
      </c>
      <c r="E25" s="77">
        <f t="shared" si="2"/>
        <v>0</v>
      </c>
      <c r="F25" s="77">
        <f t="shared" si="2"/>
        <v>0</v>
      </c>
      <c r="G25" s="77">
        <f t="shared" si="2"/>
        <v>0</v>
      </c>
      <c r="H25" s="77">
        <f t="shared" si="2"/>
        <v>0</v>
      </c>
      <c r="I25" s="77">
        <f t="shared" si="2"/>
        <v>0</v>
      </c>
      <c r="J25" s="77">
        <f t="shared" si="2"/>
        <v>0</v>
      </c>
      <c r="K25" s="77">
        <f t="shared" si="2"/>
        <v>0</v>
      </c>
      <c r="L25" s="77">
        <f t="shared" si="2"/>
        <v>0</v>
      </c>
      <c r="M25" s="77">
        <f t="shared" si="2"/>
        <v>0</v>
      </c>
      <c r="N25" s="77">
        <f t="shared" si="2"/>
        <v>113446.77</v>
      </c>
      <c r="O25" s="289">
        <f>N25/P25</f>
        <v>0.13825462730512184</v>
      </c>
      <c r="P25" s="77">
        <f>SUM(P21:P24)</f>
        <v>820564</v>
      </c>
      <c r="Q25" s="77">
        <f>SUM(Q21:Q24)</f>
        <v>743207</v>
      </c>
      <c r="S25" s="463"/>
    </row>
    <row r="26" spans="1:20" x14ac:dyDescent="0.3">
      <c r="A26" s="78" t="s">
        <v>497</v>
      </c>
      <c r="B26" s="82">
        <v>17294.12</v>
      </c>
      <c r="C26" s="82">
        <f>1632+22036.02</f>
        <v>23668.02</v>
      </c>
      <c r="D26" s="82"/>
      <c r="E26" s="82"/>
      <c r="F26" s="82"/>
      <c r="G26" s="82"/>
      <c r="H26" s="82"/>
      <c r="I26" s="82"/>
      <c r="J26" s="82"/>
      <c r="K26" s="82"/>
      <c r="L26" s="82"/>
      <c r="M26" s="82"/>
      <c r="N26" s="79">
        <f>SUM(B26:M26)</f>
        <v>40962.14</v>
      </c>
      <c r="O26" s="289">
        <f>N26/P26</f>
        <v>0.11572593189243956</v>
      </c>
      <c r="P26" s="82">
        <f>+'budget entry'!F43</f>
        <v>353958.17800000001</v>
      </c>
      <c r="Q26" s="82">
        <v>345100</v>
      </c>
      <c r="S26" s="463"/>
      <c r="T26" s="463"/>
    </row>
    <row r="27" spans="1:20" x14ac:dyDescent="0.3">
      <c r="A27" s="78" t="s">
        <v>82</v>
      </c>
      <c r="B27" s="77">
        <v>1796.81</v>
      </c>
      <c r="C27" s="77">
        <v>1796.81</v>
      </c>
      <c r="D27" s="77"/>
      <c r="E27" s="77"/>
      <c r="F27" s="77"/>
      <c r="G27" s="77"/>
      <c r="H27" s="77"/>
      <c r="I27" s="77"/>
      <c r="J27" s="77"/>
      <c r="K27" s="77"/>
      <c r="L27" s="77"/>
      <c r="M27" s="77"/>
      <c r="N27" s="79">
        <f t="shared" ref="N27:N32" si="3">SUM(B27:M27)</f>
        <v>3593.62</v>
      </c>
      <c r="O27" s="289">
        <f>N27/P27</f>
        <v>0.14973416666666667</v>
      </c>
      <c r="P27" s="77">
        <f>+'budget entry'!F45</f>
        <v>24000</v>
      </c>
      <c r="Q27" s="77">
        <v>24000</v>
      </c>
    </row>
    <row r="28" spans="1:20" x14ac:dyDescent="0.3">
      <c r="A28" s="78" t="s">
        <v>501</v>
      </c>
      <c r="B28" s="77"/>
      <c r="C28" s="77"/>
      <c r="D28" s="77"/>
      <c r="E28" s="77"/>
      <c r="F28" s="77"/>
      <c r="G28" s="77"/>
      <c r="H28" s="77"/>
      <c r="I28" s="77"/>
      <c r="J28" s="77"/>
      <c r="K28" s="77"/>
      <c r="L28" s="77"/>
      <c r="M28" s="77"/>
      <c r="N28" s="79">
        <f t="shared" si="3"/>
        <v>0</v>
      </c>
      <c r="O28" s="289"/>
      <c r="P28" s="77">
        <f>+'budget entry'!F44</f>
        <v>20361</v>
      </c>
      <c r="Q28" s="77">
        <v>20361</v>
      </c>
      <c r="R28" s="172" t="s">
        <v>15</v>
      </c>
    </row>
    <row r="29" spans="1:20" x14ac:dyDescent="0.3">
      <c r="A29" s="78" t="s">
        <v>455</v>
      </c>
      <c r="B29" s="77">
        <v>21303.75</v>
      </c>
      <c r="C29" s="77">
        <v>21303.75</v>
      </c>
      <c r="D29" s="77"/>
      <c r="E29" s="77"/>
      <c r="F29" s="77"/>
      <c r="G29" s="77"/>
      <c r="H29" s="77"/>
      <c r="I29" s="77"/>
      <c r="J29" s="77"/>
      <c r="K29" s="77"/>
      <c r="L29" s="77"/>
      <c r="M29" s="77"/>
      <c r="N29" s="79">
        <f t="shared" si="3"/>
        <v>42607.5</v>
      </c>
      <c r="O29" s="289">
        <f>N29/P29</f>
        <v>0.16343498273878021</v>
      </c>
      <c r="P29" s="77">
        <f>+'budget entry'!F46</f>
        <v>260700</v>
      </c>
      <c r="Q29" s="77">
        <v>265749</v>
      </c>
      <c r="R29" t="s">
        <v>661</v>
      </c>
    </row>
    <row r="30" spans="1:20" ht="16.5" customHeight="1" x14ac:dyDescent="0.3">
      <c r="A30" s="78" t="s">
        <v>276</v>
      </c>
      <c r="B30" s="77">
        <v>398.04</v>
      </c>
      <c r="C30" s="77">
        <v>25004.33</v>
      </c>
      <c r="D30" s="77"/>
      <c r="E30" s="77"/>
      <c r="F30" s="77"/>
      <c r="G30" s="77"/>
      <c r="H30" s="77"/>
      <c r="I30" s="77"/>
      <c r="J30" s="77"/>
      <c r="K30" s="77"/>
      <c r="L30" s="77"/>
      <c r="M30" s="77"/>
      <c r="N30" s="79">
        <f t="shared" si="3"/>
        <v>25402.370000000003</v>
      </c>
      <c r="O30" s="289">
        <f>N30/P30</f>
        <v>0.46186127272727279</v>
      </c>
      <c r="P30" s="77">
        <f>+'budget entry'!F47</f>
        <v>55000</v>
      </c>
      <c r="Q30" s="77">
        <v>75000</v>
      </c>
    </row>
    <row r="31" spans="1:20" x14ac:dyDescent="0.3">
      <c r="A31" s="78" t="s">
        <v>85</v>
      </c>
      <c r="B31" s="77"/>
      <c r="C31" s="77">
        <v>5304.24</v>
      </c>
      <c r="D31" s="77"/>
      <c r="E31" s="77"/>
      <c r="F31" s="77"/>
      <c r="G31" s="77"/>
      <c r="H31" s="77"/>
      <c r="I31" s="77"/>
      <c r="J31" s="77"/>
      <c r="K31" s="77"/>
      <c r="L31" s="77"/>
      <c r="M31" s="77"/>
      <c r="N31" s="79">
        <f t="shared" si="3"/>
        <v>5304.24</v>
      </c>
      <c r="O31" s="289">
        <f>N31/P31</f>
        <v>0.34220903225806448</v>
      </c>
      <c r="P31" s="77">
        <f>+'budget entry'!F48</f>
        <v>15500</v>
      </c>
      <c r="Q31" s="77">
        <v>15000</v>
      </c>
    </row>
    <row r="32" spans="1:20" x14ac:dyDescent="0.3">
      <c r="A32" s="246" t="s">
        <v>599</v>
      </c>
      <c r="B32" s="81"/>
      <c r="C32" s="81"/>
      <c r="D32" s="81"/>
      <c r="E32" s="81"/>
      <c r="F32" s="81"/>
      <c r="G32" s="81"/>
      <c r="H32" s="81"/>
      <c r="I32" s="81"/>
      <c r="J32" s="81"/>
      <c r="K32" s="81"/>
      <c r="L32" s="81"/>
      <c r="M32" s="81"/>
      <c r="N32" s="103">
        <f t="shared" si="3"/>
        <v>0</v>
      </c>
      <c r="O32" s="289">
        <v>0</v>
      </c>
      <c r="P32" s="81">
        <f>+'budget entry'!F51</f>
        <v>23500</v>
      </c>
      <c r="Q32" s="81">
        <v>23500</v>
      </c>
      <c r="R32" s="172" t="s">
        <v>644</v>
      </c>
    </row>
    <row r="33" spans="1:20" s="195" customFormat="1" x14ac:dyDescent="0.3">
      <c r="A33" s="60" t="s">
        <v>88</v>
      </c>
      <c r="B33" s="60">
        <f>SUM(B25:B32)</f>
        <v>91729.73</v>
      </c>
      <c r="C33" s="60">
        <f>SUM(C25:C32)</f>
        <v>139586.90999999997</v>
      </c>
      <c r="D33" s="60">
        <f>SUM(D25:D32)</f>
        <v>0</v>
      </c>
      <c r="E33" s="60">
        <f>SUM(E25:E32)</f>
        <v>0</v>
      </c>
      <c r="F33" s="60">
        <f t="shared" ref="F33:M33" si="4">SUM(F25:F32)</f>
        <v>0</v>
      </c>
      <c r="G33" s="60">
        <f t="shared" si="4"/>
        <v>0</v>
      </c>
      <c r="H33" s="60">
        <f t="shared" si="4"/>
        <v>0</v>
      </c>
      <c r="I33" s="60">
        <f t="shared" si="4"/>
        <v>0</v>
      </c>
      <c r="J33" s="60">
        <f t="shared" si="4"/>
        <v>0</v>
      </c>
      <c r="K33" s="60">
        <f t="shared" si="4"/>
        <v>0</v>
      </c>
      <c r="L33" s="60">
        <f t="shared" si="4"/>
        <v>0</v>
      </c>
      <c r="M33" s="60">
        <f t="shared" si="4"/>
        <v>0</v>
      </c>
      <c r="N33" s="60">
        <f>SUM(N25:N32)</f>
        <v>231316.63999999998</v>
      </c>
      <c r="O33" s="286">
        <f>N33/P33</f>
        <v>0.14699994460667778</v>
      </c>
      <c r="P33" s="60">
        <f>SUM(P25:P32)</f>
        <v>1573583.1780000001</v>
      </c>
      <c r="Q33" s="60">
        <f>SUM(Q25:Q32)</f>
        <v>1511917</v>
      </c>
    </row>
    <row r="34" spans="1:20" s="195" customFormat="1" ht="8.4" customHeight="1" x14ac:dyDescent="0.3">
      <c r="A34" s="51"/>
      <c r="B34" s="51"/>
      <c r="C34" s="51"/>
      <c r="D34" s="51"/>
      <c r="E34" s="51"/>
      <c r="F34" s="51"/>
      <c r="G34" s="51"/>
      <c r="H34" s="51"/>
      <c r="I34" s="51"/>
      <c r="J34" s="51"/>
      <c r="K34" s="51"/>
      <c r="L34" s="51"/>
      <c r="M34" s="51"/>
      <c r="N34" s="51"/>
      <c r="O34" s="293"/>
      <c r="P34" s="51"/>
      <c r="Q34" s="51"/>
    </row>
    <row r="35" spans="1:20" s="195" customFormat="1" x14ac:dyDescent="0.3">
      <c r="A35" s="128" t="s">
        <v>615</v>
      </c>
      <c r="B35" s="51"/>
      <c r="C35" s="51"/>
      <c r="D35" s="51"/>
      <c r="E35" s="51"/>
      <c r="F35" s="51"/>
      <c r="G35" s="51"/>
      <c r="H35" s="51"/>
      <c r="I35" s="51"/>
      <c r="J35" s="51"/>
      <c r="K35" s="51"/>
      <c r="L35" s="51"/>
      <c r="M35" s="51"/>
      <c r="N35" s="51"/>
      <c r="O35" s="293"/>
      <c r="P35" s="51"/>
      <c r="Q35" s="51"/>
    </row>
    <row r="36" spans="1:20" s="195" customFormat="1" x14ac:dyDescent="0.3">
      <c r="A36" s="78" t="s">
        <v>120</v>
      </c>
      <c r="B36" s="79">
        <v>7621.27</v>
      </c>
      <c r="C36" s="79">
        <v>8423.52</v>
      </c>
      <c r="D36" s="79"/>
      <c r="E36" s="79"/>
      <c r="F36" s="79"/>
      <c r="G36" s="79"/>
      <c r="H36" s="79"/>
      <c r="I36" s="79"/>
      <c r="J36" s="79"/>
      <c r="K36" s="79"/>
      <c r="L36" s="79"/>
      <c r="M36" s="79"/>
      <c r="N36" s="79">
        <f>SUM(B36:M36)</f>
        <v>16044.79</v>
      </c>
      <c r="O36" s="289">
        <f>N36/P36</f>
        <v>0.15727719181304894</v>
      </c>
      <c r="P36" s="79">
        <f>+'budget entry'!F55</f>
        <v>102016</v>
      </c>
      <c r="Q36" s="79">
        <v>101372</v>
      </c>
      <c r="R36" s="197" t="s">
        <v>15</v>
      </c>
      <c r="S36" s="463"/>
    </row>
    <row r="37" spans="1:20" s="195" customFormat="1" x14ac:dyDescent="0.3">
      <c r="A37" s="78" t="s">
        <v>497</v>
      </c>
      <c r="B37" s="77">
        <v>3058.25</v>
      </c>
      <c r="C37" s="77">
        <v>2932.94</v>
      </c>
      <c r="D37" s="77"/>
      <c r="E37" s="77"/>
      <c r="F37" s="77"/>
      <c r="G37" s="77"/>
      <c r="H37" s="77"/>
      <c r="I37" s="77"/>
      <c r="J37" s="77"/>
      <c r="K37" s="77"/>
      <c r="L37" s="77"/>
      <c r="M37" s="77"/>
      <c r="N37" s="79">
        <f>SUM(B37:M37)</f>
        <v>5991.1900000000005</v>
      </c>
      <c r="O37" s="289">
        <f>N37/P37</f>
        <v>0.10278159238857738</v>
      </c>
      <c r="P37" s="77">
        <f>+'budget entry'!F56+'budget entry'!F57+'budget entry'!F58</f>
        <v>58290.495999999999</v>
      </c>
      <c r="Q37" s="77">
        <f>1470+20680+1267+25562</f>
        <v>48979</v>
      </c>
      <c r="S37" s="463"/>
      <c r="T37" s="463"/>
    </row>
    <row r="38" spans="1:20" s="195" customFormat="1" x14ac:dyDescent="0.3">
      <c r="A38" s="78" t="s">
        <v>466</v>
      </c>
      <c r="B38" s="77"/>
      <c r="C38" s="77"/>
      <c r="D38" s="77"/>
      <c r="E38" s="77"/>
      <c r="F38" s="77"/>
      <c r="G38" s="77"/>
      <c r="H38" s="77"/>
      <c r="I38" s="77"/>
      <c r="J38" s="77"/>
      <c r="K38" s="77"/>
      <c r="L38" s="77"/>
      <c r="M38" s="77"/>
      <c r="N38" s="79">
        <f>SUM(B38:M38)</f>
        <v>0</v>
      </c>
      <c r="O38" s="289" t="s">
        <v>15</v>
      </c>
      <c r="P38" s="77">
        <f>+'budget entry'!F59</f>
        <v>5000</v>
      </c>
      <c r="Q38" s="77">
        <v>5000</v>
      </c>
    </row>
    <row r="39" spans="1:20" s="195" customFormat="1" x14ac:dyDescent="0.3">
      <c r="A39" s="78" t="s">
        <v>75</v>
      </c>
      <c r="B39" s="77"/>
      <c r="C39" s="77">
        <v>41.01</v>
      </c>
      <c r="D39" s="77"/>
      <c r="E39" s="77"/>
      <c r="F39" s="77"/>
      <c r="G39" s="77"/>
      <c r="H39" s="77"/>
      <c r="I39" s="77"/>
      <c r="J39" s="77"/>
      <c r="K39" s="77"/>
      <c r="L39" s="77"/>
      <c r="M39" s="77"/>
      <c r="N39" s="79">
        <f>SUM(B39:M39)</f>
        <v>41.01</v>
      </c>
      <c r="O39" s="289" t="s">
        <v>15</v>
      </c>
      <c r="P39" s="77">
        <f>+'budget entry'!F61</f>
        <v>10000</v>
      </c>
      <c r="Q39" s="77">
        <v>0</v>
      </c>
    </row>
    <row r="40" spans="1:20" s="195" customFormat="1" x14ac:dyDescent="0.3">
      <c r="A40" s="78" t="s">
        <v>469</v>
      </c>
      <c r="B40" s="81"/>
      <c r="C40" s="81"/>
      <c r="D40" s="81"/>
      <c r="E40" s="81"/>
      <c r="F40" s="81"/>
      <c r="G40" s="81"/>
      <c r="H40" s="81"/>
      <c r="I40" s="81"/>
      <c r="J40" s="81"/>
      <c r="K40" s="81"/>
      <c r="L40" s="81"/>
      <c r="M40" s="81"/>
      <c r="N40" s="103">
        <f>SUM(B40:M40)</f>
        <v>0</v>
      </c>
      <c r="O40" s="289">
        <f>N40/P40</f>
        <v>0</v>
      </c>
      <c r="P40" s="81">
        <f>+'budget entry'!F65</f>
        <v>19072</v>
      </c>
      <c r="Q40" s="81">
        <v>2000</v>
      </c>
    </row>
    <row r="41" spans="1:20" s="195" customFormat="1" x14ac:dyDescent="0.3">
      <c r="A41" s="60" t="s">
        <v>615</v>
      </c>
      <c r="B41" s="60">
        <f t="shared" ref="B41:N41" si="5">SUM(B36:B40)</f>
        <v>10679.52</v>
      </c>
      <c r="C41" s="60">
        <f>SUM(C36:C40)</f>
        <v>11397.470000000001</v>
      </c>
      <c r="D41" s="60">
        <f>SUM(D36:D40)</f>
        <v>0</v>
      </c>
      <c r="E41" s="60">
        <f t="shared" si="5"/>
        <v>0</v>
      </c>
      <c r="F41" s="60">
        <f t="shared" si="5"/>
        <v>0</v>
      </c>
      <c r="G41" s="60">
        <f t="shared" si="5"/>
        <v>0</v>
      </c>
      <c r="H41" s="60">
        <f t="shared" si="5"/>
        <v>0</v>
      </c>
      <c r="I41" s="60">
        <f t="shared" si="5"/>
        <v>0</v>
      </c>
      <c r="J41" s="60">
        <f t="shared" si="5"/>
        <v>0</v>
      </c>
      <c r="K41" s="60">
        <f t="shared" si="5"/>
        <v>0</v>
      </c>
      <c r="L41" s="60">
        <f t="shared" si="5"/>
        <v>0</v>
      </c>
      <c r="M41" s="60">
        <f t="shared" si="5"/>
        <v>0</v>
      </c>
      <c r="N41" s="60">
        <f t="shared" si="5"/>
        <v>22076.99</v>
      </c>
      <c r="O41" s="286">
        <f>N41/P41</f>
        <v>0.11357732698991561</v>
      </c>
      <c r="P41" s="60">
        <f>SUM(P36:P40)</f>
        <v>194378.49599999998</v>
      </c>
      <c r="Q41" s="60">
        <f>SUM(Q36:Q40)</f>
        <v>157351</v>
      </c>
    </row>
    <row r="42" spans="1:20" s="195" customFormat="1" ht="9" customHeight="1" x14ac:dyDescent="0.3">
      <c r="A42" s="51"/>
      <c r="B42" s="51"/>
      <c r="C42" s="51"/>
      <c r="D42" s="51"/>
      <c r="E42" s="51"/>
      <c r="F42" s="51"/>
      <c r="G42" s="51"/>
      <c r="H42" s="51"/>
      <c r="I42" s="51"/>
      <c r="J42" s="51"/>
      <c r="K42" s="51"/>
      <c r="L42" s="51"/>
      <c r="M42" s="51"/>
      <c r="N42" s="51"/>
      <c r="O42" s="293"/>
      <c r="P42" s="51"/>
      <c r="Q42" s="51"/>
    </row>
    <row r="43" spans="1:20" s="195" customFormat="1" x14ac:dyDescent="0.3">
      <c r="A43" s="128" t="s">
        <v>126</v>
      </c>
      <c r="B43" s="51"/>
      <c r="C43" s="51"/>
      <c r="D43" s="51"/>
      <c r="E43" s="51"/>
      <c r="F43" s="51"/>
      <c r="G43" s="51"/>
      <c r="H43" s="51"/>
      <c r="I43" s="51"/>
      <c r="J43" s="51"/>
      <c r="K43" s="51"/>
      <c r="L43" s="51"/>
      <c r="M43" s="51"/>
      <c r="N43" s="51"/>
      <c r="O43" s="293"/>
      <c r="P43" s="51"/>
      <c r="Q43" s="51"/>
    </row>
    <row r="44" spans="1:20" s="195" customFormat="1" ht="19.5" customHeight="1" x14ac:dyDescent="0.3">
      <c r="A44" s="78" t="s">
        <v>2</v>
      </c>
      <c r="B44" s="77"/>
      <c r="C44" s="77">
        <f>614.86+371.93</f>
        <v>986.79</v>
      </c>
      <c r="D44" s="77"/>
      <c r="E44" s="77"/>
      <c r="F44" s="77"/>
      <c r="G44" s="77"/>
      <c r="H44" s="77"/>
      <c r="I44" s="77"/>
      <c r="J44" s="77"/>
      <c r="K44" s="77"/>
      <c r="L44" s="77"/>
      <c r="M44" s="77"/>
      <c r="N44" s="79">
        <f>SUM(B44:M44)</f>
        <v>986.79</v>
      </c>
      <c r="O44" s="289">
        <f>N44/P44</f>
        <v>8.2923529411764701E-2</v>
      </c>
      <c r="P44" s="77">
        <f>+'budget entry'!F74</f>
        <v>11900</v>
      </c>
      <c r="Q44" s="77">
        <v>11900</v>
      </c>
    </row>
    <row r="45" spans="1:20" s="195" customFormat="1" x14ac:dyDescent="0.3">
      <c r="A45" s="78" t="s">
        <v>38</v>
      </c>
      <c r="B45" s="81">
        <f>4001.6+5532.75</f>
        <v>9534.35</v>
      </c>
      <c r="C45" s="81"/>
      <c r="D45" s="81"/>
      <c r="E45" s="81"/>
      <c r="F45" s="81"/>
      <c r="G45" s="81"/>
      <c r="H45" s="81"/>
      <c r="I45" s="81"/>
      <c r="J45" s="81"/>
      <c r="K45" s="81"/>
      <c r="L45" s="81"/>
      <c r="M45" s="81"/>
      <c r="N45" s="103">
        <f>SUM(B45:M45)</f>
        <v>9534.35</v>
      </c>
      <c r="O45" s="289">
        <f>N45/P45</f>
        <v>1.0593722222222222</v>
      </c>
      <c r="P45" s="81">
        <f>+'budget entry'!F77</f>
        <v>9000</v>
      </c>
      <c r="Q45" s="81">
        <v>8346</v>
      </c>
    </row>
    <row r="46" spans="1:20" s="195" customFormat="1" x14ac:dyDescent="0.3">
      <c r="A46" s="60" t="s">
        <v>143</v>
      </c>
      <c r="B46" s="60">
        <f t="shared" ref="B46:N46" si="6">SUM(B44:B45)</f>
        <v>9534.35</v>
      </c>
      <c r="C46" s="60">
        <f t="shared" si="6"/>
        <v>986.79</v>
      </c>
      <c r="D46" s="60">
        <f t="shared" si="6"/>
        <v>0</v>
      </c>
      <c r="E46" s="60">
        <f t="shared" si="6"/>
        <v>0</v>
      </c>
      <c r="F46" s="60">
        <f t="shared" si="6"/>
        <v>0</v>
      </c>
      <c r="G46" s="60">
        <f t="shared" si="6"/>
        <v>0</v>
      </c>
      <c r="H46" s="60">
        <f t="shared" si="6"/>
        <v>0</v>
      </c>
      <c r="I46" s="60">
        <f t="shared" si="6"/>
        <v>0</v>
      </c>
      <c r="J46" s="60">
        <f t="shared" si="6"/>
        <v>0</v>
      </c>
      <c r="K46" s="60">
        <f t="shared" si="6"/>
        <v>0</v>
      </c>
      <c r="L46" s="60">
        <f t="shared" si="6"/>
        <v>0</v>
      </c>
      <c r="M46" s="60">
        <f t="shared" si="6"/>
        <v>0</v>
      </c>
      <c r="N46" s="60">
        <f t="shared" si="6"/>
        <v>10521.14</v>
      </c>
      <c r="O46" s="286">
        <f>N46/P46</f>
        <v>0.50340382775119619</v>
      </c>
      <c r="P46" s="60">
        <f>SUM(P44:P45)</f>
        <v>20900</v>
      </c>
      <c r="Q46" s="60">
        <f>SUM(Q44:Q45)</f>
        <v>20246</v>
      </c>
    </row>
    <row r="47" spans="1:20" s="195" customFormat="1" ht="8.25" customHeight="1" x14ac:dyDescent="0.3">
      <c r="A47" s="51"/>
      <c r="B47" s="51"/>
      <c r="C47" s="51"/>
      <c r="D47" s="51"/>
      <c r="E47" s="51"/>
      <c r="F47" s="51"/>
      <c r="G47" s="51"/>
      <c r="H47" s="51"/>
      <c r="I47" s="51"/>
      <c r="J47" s="51"/>
      <c r="K47" s="51"/>
      <c r="L47" s="51"/>
      <c r="M47" s="51"/>
      <c r="N47" s="51"/>
      <c r="O47" s="293"/>
      <c r="P47" s="51"/>
      <c r="Q47" s="51"/>
    </row>
    <row r="48" spans="1:20" s="195" customFormat="1" x14ac:dyDescent="0.3">
      <c r="A48" s="128" t="s">
        <v>617</v>
      </c>
      <c r="B48" s="51"/>
      <c r="C48" s="51"/>
      <c r="D48" s="51"/>
      <c r="E48" s="51"/>
      <c r="F48" s="51"/>
      <c r="G48" s="51"/>
      <c r="H48" s="51"/>
      <c r="I48" s="51"/>
      <c r="J48" s="51"/>
      <c r="K48" s="51"/>
      <c r="L48" s="51"/>
      <c r="M48" s="51"/>
      <c r="N48" s="51"/>
      <c r="O48" s="293"/>
      <c r="P48" s="51"/>
      <c r="Q48" s="51"/>
    </row>
    <row r="49" spans="1:20" s="195" customFormat="1" x14ac:dyDescent="0.3">
      <c r="A49" s="78" t="s">
        <v>1</v>
      </c>
      <c r="B49" s="51">
        <f>4637.07+2000</f>
        <v>6637.07</v>
      </c>
      <c r="C49" s="51">
        <v>4637.07</v>
      </c>
      <c r="D49" s="51"/>
      <c r="E49" s="51"/>
      <c r="F49" s="51"/>
      <c r="G49" s="51"/>
      <c r="H49" s="51"/>
      <c r="I49" s="51"/>
      <c r="J49" s="51"/>
      <c r="K49" s="51"/>
      <c r="L49" s="51"/>
      <c r="M49" s="51"/>
      <c r="N49" s="79">
        <f t="shared" ref="N49:N58" si="7">SUM(B49:M49)</f>
        <v>11274.14</v>
      </c>
      <c r="O49" s="289">
        <f t="shared" ref="O49:O59" si="8">N49/P49</f>
        <v>0.16146094996405339</v>
      </c>
      <c r="P49" s="51">
        <f>+'budget entry'!F82</f>
        <v>69825.8</v>
      </c>
      <c r="Q49" s="51">
        <v>65060</v>
      </c>
    </row>
    <row r="50" spans="1:20" s="195" customFormat="1" x14ac:dyDescent="0.3">
      <c r="A50" s="78" t="s">
        <v>121</v>
      </c>
      <c r="B50" s="51"/>
      <c r="C50" s="51"/>
      <c r="D50" s="51"/>
      <c r="E50" s="51"/>
      <c r="F50" s="51"/>
      <c r="G50" s="51"/>
      <c r="H50" s="51"/>
      <c r="I50" s="51"/>
      <c r="J50" s="51"/>
      <c r="K50" s="51"/>
      <c r="L50" s="51"/>
      <c r="M50" s="51"/>
      <c r="N50" s="79">
        <f t="shared" si="7"/>
        <v>0</v>
      </c>
      <c r="O50" s="289" t="s">
        <v>15</v>
      </c>
      <c r="P50" s="51">
        <f>+'budget entry'!F83</f>
        <v>2000</v>
      </c>
      <c r="Q50" s="51">
        <v>2000</v>
      </c>
    </row>
    <row r="51" spans="1:20" s="195" customFormat="1" x14ac:dyDescent="0.3">
      <c r="A51" s="78" t="s">
        <v>497</v>
      </c>
      <c r="B51" s="51">
        <v>1403.62</v>
      </c>
      <c r="C51" s="51">
        <v>1403.04</v>
      </c>
      <c r="D51" s="51"/>
      <c r="E51" s="51"/>
      <c r="F51" s="51"/>
      <c r="G51" s="51"/>
      <c r="H51" s="51"/>
      <c r="I51" s="51"/>
      <c r="J51" s="51"/>
      <c r="K51" s="51"/>
      <c r="L51" s="51"/>
      <c r="M51" s="51"/>
      <c r="N51" s="79">
        <f t="shared" si="7"/>
        <v>2806.66</v>
      </c>
      <c r="O51" s="289">
        <f t="shared" si="8"/>
        <v>0.12498298197542659</v>
      </c>
      <c r="P51" s="51">
        <f>+'budget entry'!F84+'budget entry'!F85+'budget entry'!F86</f>
        <v>22456.337299999999</v>
      </c>
      <c r="Q51" s="51">
        <f>980+13272+813+7710</f>
        <v>22775</v>
      </c>
      <c r="S51" s="463"/>
      <c r="T51" s="463"/>
    </row>
    <row r="52" spans="1:20" s="195" customFormat="1" x14ac:dyDescent="0.3">
      <c r="A52" s="78" t="s">
        <v>470</v>
      </c>
      <c r="B52" s="51">
        <v>498.63</v>
      </c>
      <c r="C52" s="51">
        <v>638.49</v>
      </c>
      <c r="D52" s="51"/>
      <c r="E52" s="51"/>
      <c r="F52" s="51"/>
      <c r="G52" s="51"/>
      <c r="H52" s="51"/>
      <c r="I52" s="51"/>
      <c r="J52" s="51"/>
      <c r="K52" s="51"/>
      <c r="L52" s="51"/>
      <c r="M52" s="51"/>
      <c r="N52" s="79">
        <f t="shared" si="7"/>
        <v>1137.1199999999999</v>
      </c>
      <c r="O52" s="289">
        <f t="shared" si="8"/>
        <v>9.4759999999999997E-2</v>
      </c>
      <c r="P52" s="51">
        <f>+'budget entry'!F87</f>
        <v>12000</v>
      </c>
      <c r="Q52" s="51">
        <v>10000</v>
      </c>
      <c r="R52" s="195" t="s">
        <v>645</v>
      </c>
    </row>
    <row r="53" spans="1:20" s="195" customFormat="1" x14ac:dyDescent="0.3">
      <c r="A53" s="78" t="s">
        <v>471</v>
      </c>
      <c r="B53" s="51"/>
      <c r="C53" s="51">
        <v>21.96</v>
      </c>
      <c r="D53" s="51"/>
      <c r="E53" s="51"/>
      <c r="F53" s="51"/>
      <c r="G53" s="51"/>
      <c r="H53" s="51"/>
      <c r="I53" s="51"/>
      <c r="J53" s="51"/>
      <c r="K53" s="51"/>
      <c r="L53" s="51"/>
      <c r="M53" s="51"/>
      <c r="N53" s="79">
        <f t="shared" si="7"/>
        <v>21.96</v>
      </c>
      <c r="O53" s="289">
        <f t="shared" si="8"/>
        <v>7.3200000000000001E-3</v>
      </c>
      <c r="P53" s="51">
        <f>+'budget entry'!F88</f>
        <v>3000</v>
      </c>
      <c r="Q53" s="51">
        <v>3000</v>
      </c>
    </row>
    <row r="54" spans="1:20" s="195" customFormat="1" x14ac:dyDescent="0.3">
      <c r="A54" s="78" t="s">
        <v>414</v>
      </c>
      <c r="B54" s="51"/>
      <c r="C54" s="51"/>
      <c r="D54" s="51"/>
      <c r="E54" s="51"/>
      <c r="F54" s="51"/>
      <c r="G54" s="51"/>
      <c r="H54" s="51"/>
      <c r="I54" s="51"/>
      <c r="J54" s="51"/>
      <c r="K54" s="51"/>
      <c r="L54" s="51"/>
      <c r="M54" s="51"/>
      <c r="N54" s="79">
        <f t="shared" si="7"/>
        <v>0</v>
      </c>
      <c r="O54" s="289">
        <f t="shared" si="8"/>
        <v>0</v>
      </c>
      <c r="P54" s="51">
        <f>+'budget entry'!F89</f>
        <v>2000</v>
      </c>
      <c r="Q54" s="51">
        <v>2000</v>
      </c>
    </row>
    <row r="55" spans="1:20" s="195" customFormat="1" x14ac:dyDescent="0.3">
      <c r="A55" s="78" t="s">
        <v>42</v>
      </c>
      <c r="B55" s="51"/>
      <c r="C55" s="51">
        <v>3600</v>
      </c>
      <c r="D55" s="51"/>
      <c r="E55" s="51"/>
      <c r="F55" s="51"/>
      <c r="G55" s="51"/>
      <c r="H55" s="51"/>
      <c r="I55" s="51"/>
      <c r="J55" s="51"/>
      <c r="K55" s="51"/>
      <c r="L55" s="51"/>
      <c r="M55" s="51"/>
      <c r="N55" s="79">
        <f t="shared" si="7"/>
        <v>3600</v>
      </c>
      <c r="O55" s="289">
        <f t="shared" si="8"/>
        <v>0.51428571428571423</v>
      </c>
      <c r="P55" s="51">
        <f>+'budget entry'!F90</f>
        <v>7000</v>
      </c>
      <c r="Q55" s="51">
        <v>7000</v>
      </c>
      <c r="R55" s="399" t="s">
        <v>15</v>
      </c>
    </row>
    <row r="56" spans="1:20" s="195" customFormat="1" x14ac:dyDescent="0.3">
      <c r="A56" s="78" t="s">
        <v>472</v>
      </c>
      <c r="B56" s="51"/>
      <c r="C56" s="51">
        <v>57.11</v>
      </c>
      <c r="D56" s="51"/>
      <c r="E56" s="51"/>
      <c r="F56" s="51"/>
      <c r="G56" s="51"/>
      <c r="H56" s="51"/>
      <c r="I56" s="51"/>
      <c r="J56" s="51"/>
      <c r="K56" s="51"/>
      <c r="L56" s="51"/>
      <c r="M56" s="51"/>
      <c r="N56" s="79">
        <f t="shared" si="7"/>
        <v>57.11</v>
      </c>
      <c r="O56" s="289">
        <v>0</v>
      </c>
      <c r="P56" s="51">
        <f>+'budget entry'!F91</f>
        <v>2000</v>
      </c>
      <c r="Q56" s="51">
        <v>2000</v>
      </c>
    </row>
    <row r="57" spans="1:20" s="195" customFormat="1" x14ac:dyDescent="0.3">
      <c r="A57" s="78" t="s">
        <v>475</v>
      </c>
      <c r="B57" s="51">
        <v>680</v>
      </c>
      <c r="C57" s="51">
        <v>153.05000000000001</v>
      </c>
      <c r="D57" s="51"/>
      <c r="E57" s="51"/>
      <c r="F57" s="51"/>
      <c r="G57" s="51"/>
      <c r="H57" s="51"/>
      <c r="I57" s="51"/>
      <c r="J57" s="51"/>
      <c r="K57" s="51"/>
      <c r="L57" s="51"/>
      <c r="M57" s="51"/>
      <c r="N57" s="79">
        <f t="shared" si="7"/>
        <v>833.05</v>
      </c>
      <c r="O57" s="289">
        <f t="shared" si="8"/>
        <v>0.16660999999999998</v>
      </c>
      <c r="P57" s="51">
        <f>+'budget entry'!F92</f>
        <v>5000</v>
      </c>
      <c r="Q57" s="51">
        <v>5000</v>
      </c>
      <c r="R57" s="195" t="s">
        <v>662</v>
      </c>
    </row>
    <row r="58" spans="1:20" s="195" customFormat="1" x14ac:dyDescent="0.3">
      <c r="A58" s="78" t="s">
        <v>474</v>
      </c>
      <c r="B58" s="63">
        <v>5180.7700000000004</v>
      </c>
      <c r="C58" s="63">
        <v>5180.7700000000004</v>
      </c>
      <c r="D58" s="63"/>
      <c r="E58" s="63"/>
      <c r="F58" s="63"/>
      <c r="G58" s="63"/>
      <c r="H58" s="63"/>
      <c r="I58" s="63"/>
      <c r="J58" s="63"/>
      <c r="K58" s="63"/>
      <c r="L58" s="63"/>
      <c r="M58" s="63"/>
      <c r="N58" s="103">
        <f t="shared" si="7"/>
        <v>10361.540000000001</v>
      </c>
      <c r="O58" s="289">
        <f t="shared" si="8"/>
        <v>0.13077963876863272</v>
      </c>
      <c r="P58" s="63">
        <f>+'budget entry'!F93</f>
        <v>79229</v>
      </c>
      <c r="Q58" s="63">
        <v>78068</v>
      </c>
    </row>
    <row r="59" spans="1:20" s="195" customFormat="1" x14ac:dyDescent="0.3">
      <c r="A59" s="60" t="s">
        <v>576</v>
      </c>
      <c r="B59" s="60">
        <f>SUM(B49:B58)</f>
        <v>14400.09</v>
      </c>
      <c r="C59" s="60">
        <f>SUM(C49:C58)</f>
        <v>15691.49</v>
      </c>
      <c r="D59" s="60">
        <f>SUM(D49:D58)</f>
        <v>0</v>
      </c>
      <c r="E59" s="60">
        <f>SUM(E49:E58)</f>
        <v>0</v>
      </c>
      <c r="F59" s="60">
        <f t="shared" ref="F59:M59" si="9">SUM(F49:F58)</f>
        <v>0</v>
      </c>
      <c r="G59" s="60">
        <f t="shared" si="9"/>
        <v>0</v>
      </c>
      <c r="H59" s="60">
        <f t="shared" si="9"/>
        <v>0</v>
      </c>
      <c r="I59" s="60">
        <f t="shared" si="9"/>
        <v>0</v>
      </c>
      <c r="J59" s="60">
        <f t="shared" si="9"/>
        <v>0</v>
      </c>
      <c r="K59" s="60">
        <f t="shared" si="9"/>
        <v>0</v>
      </c>
      <c r="L59" s="60">
        <f t="shared" si="9"/>
        <v>0</v>
      </c>
      <c r="M59" s="60">
        <f t="shared" si="9"/>
        <v>0</v>
      </c>
      <c r="N59" s="60">
        <f>SUM(N49:N58)</f>
        <v>30091.579999999998</v>
      </c>
      <c r="O59" s="286">
        <f t="shared" si="8"/>
        <v>0.14713907710492205</v>
      </c>
      <c r="P59" s="60">
        <f>SUM(P49:P58)</f>
        <v>204511.1373</v>
      </c>
      <c r="Q59" s="60">
        <f>SUM(Q49:Q58)</f>
        <v>196903</v>
      </c>
    </row>
    <row r="60" spans="1:20" s="195" customFormat="1" ht="10.5" customHeight="1" x14ac:dyDescent="0.3">
      <c r="A60" s="51"/>
      <c r="B60" s="51"/>
      <c r="C60" s="51"/>
      <c r="D60" s="51"/>
      <c r="E60" s="51"/>
      <c r="F60" s="51"/>
      <c r="G60" s="51"/>
      <c r="H60" s="51"/>
      <c r="I60" s="51"/>
      <c r="J60" s="51"/>
      <c r="K60" s="51"/>
      <c r="L60" s="51"/>
      <c r="M60" s="51"/>
      <c r="N60" s="51"/>
      <c r="O60" s="293"/>
      <c r="P60" s="51"/>
      <c r="Q60" s="51"/>
    </row>
    <row r="61" spans="1:20" s="195" customFormat="1" x14ac:dyDescent="0.3">
      <c r="A61" s="128" t="s">
        <v>20</v>
      </c>
      <c r="B61" s="51"/>
      <c r="C61" s="51"/>
      <c r="D61" s="51"/>
      <c r="E61" s="51"/>
      <c r="F61" s="51"/>
      <c r="G61" s="51"/>
      <c r="H61" s="51"/>
      <c r="I61" s="51"/>
      <c r="J61" s="51"/>
      <c r="K61" s="51"/>
      <c r="L61" s="51"/>
      <c r="M61" s="51"/>
      <c r="N61" s="51"/>
      <c r="O61" s="293"/>
      <c r="P61" s="51"/>
      <c r="Q61" s="51"/>
    </row>
    <row r="62" spans="1:20" s="195" customFormat="1" x14ac:dyDescent="0.3">
      <c r="A62" s="78" t="s">
        <v>1</v>
      </c>
      <c r="B62" s="78">
        <f>13704.2-2000</f>
        <v>11704.2</v>
      </c>
      <c r="C62" s="78">
        <v>13704.2</v>
      </c>
      <c r="D62" s="78"/>
      <c r="E62" s="78"/>
      <c r="F62" s="78"/>
      <c r="G62" s="78"/>
      <c r="H62" s="78"/>
      <c r="I62" s="78"/>
      <c r="J62" s="78"/>
      <c r="K62" s="78"/>
      <c r="L62" s="78"/>
      <c r="M62" s="78"/>
      <c r="N62" s="79">
        <f t="shared" ref="N62:N68" si="10">SUM(B62:M62)</f>
        <v>25408.400000000001</v>
      </c>
      <c r="O62" s="289">
        <f t="shared" ref="O62:O69" si="11">N62/P62</f>
        <v>0.18072950749708369</v>
      </c>
      <c r="P62" s="78">
        <f>+'budget entry'!F97</f>
        <v>140588</v>
      </c>
      <c r="Q62" s="78">
        <v>161934</v>
      </c>
    </row>
    <row r="63" spans="1:20" s="195" customFormat="1" x14ac:dyDescent="0.3">
      <c r="A63" s="78" t="s">
        <v>673</v>
      </c>
      <c r="B63" s="78"/>
      <c r="C63" s="78"/>
      <c r="D63" s="78"/>
      <c r="E63" s="78"/>
      <c r="F63" s="78"/>
      <c r="G63" s="78"/>
      <c r="H63" s="78"/>
      <c r="I63" s="78"/>
      <c r="J63" s="78"/>
      <c r="K63" s="78"/>
      <c r="L63" s="78"/>
      <c r="M63" s="78"/>
      <c r="N63" s="79">
        <f t="shared" si="10"/>
        <v>0</v>
      </c>
      <c r="O63" s="289">
        <f t="shared" si="11"/>
        <v>0</v>
      </c>
      <c r="P63" s="78">
        <f>+'budget entry'!F98</f>
        <v>10000</v>
      </c>
      <c r="Q63" s="78">
        <v>8000</v>
      </c>
    </row>
    <row r="64" spans="1:20" s="195" customFormat="1" x14ac:dyDescent="0.3">
      <c r="A64" s="78" t="s">
        <v>497</v>
      </c>
      <c r="B64" s="78">
        <v>4054.62</v>
      </c>
      <c r="C64" s="78">
        <v>4579.4799999999996</v>
      </c>
      <c r="D64" s="78"/>
      <c r="E64" s="78"/>
      <c r="F64" s="78"/>
      <c r="G64" s="78"/>
      <c r="H64" s="78"/>
      <c r="I64" s="78"/>
      <c r="J64" s="78"/>
      <c r="K64" s="78"/>
      <c r="L64" s="78"/>
      <c r="M64" s="78"/>
      <c r="N64" s="79">
        <f t="shared" si="10"/>
        <v>8634.0999999999985</v>
      </c>
      <c r="O64" s="289">
        <f t="shared" si="11"/>
        <v>0.13311188770975244</v>
      </c>
      <c r="P64" s="78">
        <f>+'budget entry'!F99+'budget entry'!F100+'budget entry'!F101</f>
        <v>64863.478000000003</v>
      </c>
      <c r="Q64" s="78">
        <f>2464+33035+2024+30835</f>
        <v>68358</v>
      </c>
      <c r="R64" s="404">
        <f>(3600*4)+N64</f>
        <v>23034.1</v>
      </c>
      <c r="S64" s="463"/>
      <c r="T64" s="463"/>
    </row>
    <row r="65" spans="1:20" s="195" customFormat="1" x14ac:dyDescent="0.3">
      <c r="A65" s="79" t="s">
        <v>43</v>
      </c>
      <c r="B65" s="77"/>
      <c r="C65" s="77">
        <f>15.48+111.95</f>
        <v>127.43</v>
      </c>
      <c r="D65" s="77"/>
      <c r="E65" s="77"/>
      <c r="F65" s="77"/>
      <c r="G65" s="77"/>
      <c r="H65" s="77"/>
      <c r="I65" s="77"/>
      <c r="J65" s="77"/>
      <c r="K65" s="77"/>
      <c r="L65" s="77"/>
      <c r="M65" s="77"/>
      <c r="N65" s="79">
        <f t="shared" si="10"/>
        <v>127.43</v>
      </c>
      <c r="O65" s="289">
        <f t="shared" si="11"/>
        <v>5.0972000000000003E-2</v>
      </c>
      <c r="P65" s="77">
        <f>+'budget entry'!F102</f>
        <v>2500</v>
      </c>
      <c r="Q65" s="77">
        <v>3944</v>
      </c>
      <c r="R65" s="197" t="s">
        <v>749</v>
      </c>
    </row>
    <row r="66" spans="1:20" s="195" customFormat="1" x14ac:dyDescent="0.3">
      <c r="A66" s="79" t="s">
        <v>641</v>
      </c>
      <c r="B66" s="77"/>
      <c r="C66" s="77"/>
      <c r="D66" s="77"/>
      <c r="E66" s="77"/>
      <c r="F66" s="77"/>
      <c r="G66" s="77"/>
      <c r="H66" s="77"/>
      <c r="I66" s="77"/>
      <c r="J66" s="77"/>
      <c r="K66" s="77"/>
      <c r="L66" s="77"/>
      <c r="M66" s="77"/>
      <c r="N66" s="79">
        <f t="shared" si="10"/>
        <v>0</v>
      </c>
      <c r="O66" s="289">
        <f t="shared" si="11"/>
        <v>0</v>
      </c>
      <c r="P66" s="77">
        <f>+'budget entry'!F103</f>
        <v>6600</v>
      </c>
      <c r="Q66" s="77">
        <v>6600</v>
      </c>
    </row>
    <row r="67" spans="1:20" s="195" customFormat="1" x14ac:dyDescent="0.3">
      <c r="A67" s="79" t="s">
        <v>74</v>
      </c>
      <c r="B67" s="77"/>
      <c r="C67" s="77"/>
      <c r="D67" s="77"/>
      <c r="E67" s="77"/>
      <c r="F67" s="77"/>
      <c r="G67" s="77"/>
      <c r="H67" s="77"/>
      <c r="I67" s="77"/>
      <c r="J67" s="77"/>
      <c r="K67" s="77"/>
      <c r="L67" s="77"/>
      <c r="M67" s="77"/>
      <c r="N67" s="79">
        <f t="shared" si="10"/>
        <v>0</v>
      </c>
      <c r="O67" s="289"/>
      <c r="P67" s="77">
        <f>+'budget entry'!F105</f>
        <v>2000</v>
      </c>
      <c r="Q67" s="77"/>
    </row>
    <row r="68" spans="1:20" s="195" customFormat="1" x14ac:dyDescent="0.3">
      <c r="A68" s="79" t="s">
        <v>45</v>
      </c>
      <c r="B68" s="81"/>
      <c r="C68" s="81"/>
      <c r="D68" s="81"/>
      <c r="E68" s="81"/>
      <c r="F68" s="81"/>
      <c r="G68" s="81"/>
      <c r="H68" s="81"/>
      <c r="I68" s="81"/>
      <c r="J68" s="81"/>
      <c r="K68" s="81"/>
      <c r="L68" s="81"/>
      <c r="M68" s="81"/>
      <c r="N68" s="103">
        <f t="shared" si="10"/>
        <v>0</v>
      </c>
      <c r="O68" s="289">
        <f t="shared" si="11"/>
        <v>0</v>
      </c>
      <c r="P68" s="81">
        <f>+'budget entry'!F104</f>
        <v>500</v>
      </c>
      <c r="Q68" s="81">
        <v>500</v>
      </c>
    </row>
    <row r="69" spans="1:20" s="195" customFormat="1" x14ac:dyDescent="0.3">
      <c r="A69" s="60" t="s">
        <v>20</v>
      </c>
      <c r="B69" s="60">
        <f t="shared" ref="B69:N69" si="12">SUM(B62:B68)</f>
        <v>15758.82</v>
      </c>
      <c r="C69" s="60">
        <f>SUM(C62:C68)</f>
        <v>18411.11</v>
      </c>
      <c r="D69" s="60">
        <f>SUM(D62:D68)</f>
        <v>0</v>
      </c>
      <c r="E69" s="60">
        <f t="shared" si="12"/>
        <v>0</v>
      </c>
      <c r="F69" s="60">
        <f t="shared" si="12"/>
        <v>0</v>
      </c>
      <c r="G69" s="60">
        <f t="shared" si="12"/>
        <v>0</v>
      </c>
      <c r="H69" s="60">
        <f t="shared" si="12"/>
        <v>0</v>
      </c>
      <c r="I69" s="60">
        <f t="shared" si="12"/>
        <v>0</v>
      </c>
      <c r="J69" s="60">
        <f t="shared" si="12"/>
        <v>0</v>
      </c>
      <c r="K69" s="60">
        <f t="shared" si="12"/>
        <v>0</v>
      </c>
      <c r="L69" s="60">
        <f t="shared" si="12"/>
        <v>0</v>
      </c>
      <c r="M69" s="60">
        <f t="shared" si="12"/>
        <v>0</v>
      </c>
      <c r="N69" s="60">
        <f t="shared" si="12"/>
        <v>34169.93</v>
      </c>
      <c r="O69" s="286">
        <f t="shared" si="11"/>
        <v>0.15049419761980146</v>
      </c>
      <c r="P69" s="60">
        <f>SUM(P62:P68)</f>
        <v>227051.478</v>
      </c>
      <c r="Q69" s="60">
        <f>SUM(Q62:Q68)</f>
        <v>249336</v>
      </c>
    </row>
    <row r="70" spans="1:20" s="195" customFormat="1" ht="10.5" customHeight="1" x14ac:dyDescent="0.3">
      <c r="A70" s="51"/>
      <c r="B70" s="51"/>
      <c r="C70" s="51"/>
      <c r="D70" s="51"/>
      <c r="E70" s="51"/>
      <c r="F70" s="51"/>
      <c r="G70" s="51"/>
      <c r="H70" s="51"/>
      <c r="I70" s="51"/>
      <c r="J70" s="51"/>
      <c r="K70" s="51"/>
      <c r="L70" s="51"/>
      <c r="M70" s="51"/>
      <c r="N70" s="51"/>
      <c r="O70" s="293"/>
      <c r="P70" s="51"/>
      <c r="Q70" s="51"/>
    </row>
    <row r="71" spans="1:20" s="195" customFormat="1" x14ac:dyDescent="0.3">
      <c r="A71" s="128" t="s">
        <v>131</v>
      </c>
      <c r="B71" s="51"/>
      <c r="C71" s="51"/>
      <c r="D71" s="51"/>
      <c r="E71" s="51"/>
      <c r="F71" s="51"/>
      <c r="G71" s="51"/>
      <c r="H71" s="51"/>
      <c r="I71" s="51"/>
      <c r="J71" s="51"/>
      <c r="K71" s="51"/>
      <c r="L71" s="51"/>
      <c r="M71" s="51"/>
      <c r="N71" s="51"/>
      <c r="O71" s="293"/>
      <c r="P71" s="51"/>
      <c r="Q71" s="51"/>
    </row>
    <row r="72" spans="1:20" s="195" customFormat="1" x14ac:dyDescent="0.3">
      <c r="A72" s="78" t="s">
        <v>1</v>
      </c>
      <c r="B72" s="51">
        <v>4076.35</v>
      </c>
      <c r="C72" s="51">
        <v>4076.35</v>
      </c>
      <c r="D72" s="51"/>
      <c r="E72" s="51"/>
      <c r="F72" s="51"/>
      <c r="G72" s="51"/>
      <c r="H72" s="51"/>
      <c r="I72" s="51"/>
      <c r="J72" s="51"/>
      <c r="K72" s="51"/>
      <c r="L72" s="51"/>
      <c r="M72" s="51"/>
      <c r="N72" s="79">
        <f t="shared" ref="N72:N81" si="13">SUM(B72:M72)</f>
        <v>8152.7</v>
      </c>
      <c r="O72" s="289">
        <f t="shared" ref="O72:O82" si="14">N72/P72</f>
        <v>0.16665372035977105</v>
      </c>
      <c r="P72" s="51">
        <f>+'budget entry'!F109</f>
        <v>48920</v>
      </c>
      <c r="Q72" s="51">
        <v>48920</v>
      </c>
    </row>
    <row r="73" spans="1:20" s="195" customFormat="1" x14ac:dyDescent="0.3">
      <c r="A73" s="78" t="s">
        <v>213</v>
      </c>
      <c r="B73" s="51"/>
      <c r="C73" s="51"/>
      <c r="D73" s="51"/>
      <c r="E73" s="51"/>
      <c r="F73" s="51"/>
      <c r="G73" s="51"/>
      <c r="H73" s="51"/>
      <c r="I73" s="51"/>
      <c r="J73" s="51"/>
      <c r="K73" s="51"/>
      <c r="L73" s="51"/>
      <c r="M73" s="51"/>
      <c r="N73" s="79">
        <f t="shared" si="13"/>
        <v>0</v>
      </c>
      <c r="O73" s="289">
        <f t="shared" si="14"/>
        <v>0</v>
      </c>
      <c r="P73" s="51">
        <f>+'budget entry'!F110</f>
        <v>5000</v>
      </c>
      <c r="Q73" s="51">
        <v>5000</v>
      </c>
    </row>
    <row r="74" spans="1:20" s="195" customFormat="1" x14ac:dyDescent="0.3">
      <c r="A74" s="78" t="s">
        <v>497</v>
      </c>
      <c r="B74" s="51">
        <v>1313.54</v>
      </c>
      <c r="C74" s="51">
        <v>1313.54</v>
      </c>
      <c r="D74" s="51"/>
      <c r="E74" s="51"/>
      <c r="F74" s="51"/>
      <c r="G74" s="51"/>
      <c r="H74" s="51"/>
      <c r="I74" s="51"/>
      <c r="J74" s="51"/>
      <c r="K74" s="51"/>
      <c r="L74" s="51"/>
      <c r="M74" s="51"/>
      <c r="N74" s="79">
        <f t="shared" si="13"/>
        <v>2627.08</v>
      </c>
      <c r="O74" s="289">
        <f t="shared" si="14"/>
        <v>0.1466904908146742</v>
      </c>
      <c r="P74" s="51">
        <f>+'budget entry'!F111+'budget entry'!F112+'budget entry'!F113</f>
        <v>17909</v>
      </c>
      <c r="Q74" s="51">
        <f>709+10000+612+6200</f>
        <v>17521</v>
      </c>
      <c r="S74" s="463"/>
      <c r="T74" s="463"/>
    </row>
    <row r="75" spans="1:20" s="195" customFormat="1" x14ac:dyDescent="0.3">
      <c r="A75" s="78" t="s">
        <v>477</v>
      </c>
      <c r="B75" s="51"/>
      <c r="C75" s="51"/>
      <c r="D75" s="51"/>
      <c r="E75" s="51"/>
      <c r="F75" s="51"/>
      <c r="G75" s="51"/>
      <c r="H75" s="51"/>
      <c r="I75" s="51"/>
      <c r="J75" s="51"/>
      <c r="K75" s="51"/>
      <c r="L75" s="51"/>
      <c r="M75" s="51"/>
      <c r="N75" s="79">
        <f t="shared" si="13"/>
        <v>0</v>
      </c>
      <c r="O75" s="289">
        <v>0</v>
      </c>
      <c r="P75" s="51" t="s">
        <v>15</v>
      </c>
      <c r="Q75" s="51">
        <v>720</v>
      </c>
    </row>
    <row r="76" spans="1:20" s="195" customFormat="1" x14ac:dyDescent="0.3">
      <c r="A76" s="78" t="s">
        <v>0</v>
      </c>
      <c r="B76" s="51">
        <v>250</v>
      </c>
      <c r="C76" s="51"/>
      <c r="D76" s="51"/>
      <c r="E76" s="51"/>
      <c r="F76" s="51"/>
      <c r="G76" s="51"/>
      <c r="H76" s="51"/>
      <c r="I76" s="51"/>
      <c r="J76" s="51"/>
      <c r="K76" s="51"/>
      <c r="L76" s="51"/>
      <c r="M76" s="51"/>
      <c r="N76" s="79">
        <f t="shared" si="13"/>
        <v>250</v>
      </c>
      <c r="O76" s="289">
        <f t="shared" si="14"/>
        <v>0.125</v>
      </c>
      <c r="P76" s="51">
        <f>+'budget entry'!F114</f>
        <v>2000</v>
      </c>
      <c r="Q76" s="51">
        <v>500</v>
      </c>
    </row>
    <row r="77" spans="1:20" s="195" customFormat="1" x14ac:dyDescent="0.3">
      <c r="A77" s="78" t="s">
        <v>57</v>
      </c>
      <c r="B77" s="51"/>
      <c r="C77" s="51"/>
      <c r="D77" s="51"/>
      <c r="E77" s="51"/>
      <c r="F77" s="51"/>
      <c r="G77" s="51"/>
      <c r="H77" s="51"/>
      <c r="I77" s="51"/>
      <c r="J77" s="51"/>
      <c r="K77" s="51"/>
      <c r="L77" s="51"/>
      <c r="M77" s="51"/>
      <c r="N77" s="79">
        <f t="shared" si="13"/>
        <v>0</v>
      </c>
      <c r="O77" s="289">
        <f t="shared" si="14"/>
        <v>0</v>
      </c>
      <c r="P77" s="51">
        <f>+'budget entry'!F115</f>
        <v>2000</v>
      </c>
      <c r="Q77" s="51">
        <v>1000</v>
      </c>
    </row>
    <row r="78" spans="1:20" s="195" customFormat="1" x14ac:dyDescent="0.3">
      <c r="A78" s="78" t="s">
        <v>132</v>
      </c>
      <c r="B78" s="51"/>
      <c r="C78" s="51"/>
      <c r="D78" s="51"/>
      <c r="E78" s="51"/>
      <c r="F78" s="51"/>
      <c r="G78" s="51"/>
      <c r="H78" s="51"/>
      <c r="I78" s="51"/>
      <c r="J78" s="51"/>
      <c r="K78" s="51"/>
      <c r="L78" s="51"/>
      <c r="M78" s="51"/>
      <c r="N78" s="79">
        <f t="shared" si="13"/>
        <v>0</v>
      </c>
      <c r="O78" s="289">
        <f t="shared" si="14"/>
        <v>0</v>
      </c>
      <c r="P78" s="51">
        <f>+'budget entry'!F116</f>
        <v>200</v>
      </c>
      <c r="Q78" s="51">
        <v>200</v>
      </c>
    </row>
    <row r="79" spans="1:20" s="195" customFormat="1" x14ac:dyDescent="0.3">
      <c r="A79" s="78" t="s">
        <v>7</v>
      </c>
      <c r="B79" s="51">
        <v>174.76</v>
      </c>
      <c r="C79" s="51">
        <v>74.989999999999995</v>
      </c>
      <c r="D79" s="51"/>
      <c r="E79" s="51"/>
      <c r="F79" s="51"/>
      <c r="G79" s="51"/>
      <c r="H79" s="51"/>
      <c r="I79" s="51"/>
      <c r="J79" s="51"/>
      <c r="K79" s="51"/>
      <c r="L79" s="51"/>
      <c r="M79" s="51"/>
      <c r="N79" s="79">
        <f t="shared" si="13"/>
        <v>249.75</v>
      </c>
      <c r="O79" s="289">
        <f t="shared" si="14"/>
        <v>0.1040625</v>
      </c>
      <c r="P79" s="51">
        <f>+'budget entry'!F117</f>
        <v>2400</v>
      </c>
      <c r="Q79" s="51">
        <v>2400</v>
      </c>
    </row>
    <row r="80" spans="1:20" s="195" customFormat="1" x14ac:dyDescent="0.3">
      <c r="A80" s="78" t="s">
        <v>574</v>
      </c>
      <c r="B80" s="51"/>
      <c r="C80" s="51"/>
      <c r="D80" s="51"/>
      <c r="E80" s="51"/>
      <c r="F80" s="51"/>
      <c r="G80" s="51"/>
      <c r="H80" s="51"/>
      <c r="I80" s="51"/>
      <c r="J80" s="51"/>
      <c r="K80" s="51"/>
      <c r="L80" s="51"/>
      <c r="M80" s="51"/>
      <c r="N80" s="79">
        <f t="shared" si="13"/>
        <v>0</v>
      </c>
      <c r="O80" s="289">
        <f t="shared" si="14"/>
        <v>0</v>
      </c>
      <c r="P80" s="51">
        <f>+'budget entry'!F118</f>
        <v>2000</v>
      </c>
      <c r="Q80" s="51">
        <v>500</v>
      </c>
    </row>
    <row r="81" spans="1:20" s="195" customFormat="1" x14ac:dyDescent="0.3">
      <c r="A81" s="78" t="s">
        <v>133</v>
      </c>
      <c r="B81" s="63">
        <v>375.83</v>
      </c>
      <c r="C81" s="63">
        <v>196.13</v>
      </c>
      <c r="D81" s="63"/>
      <c r="E81" s="63"/>
      <c r="F81" s="63"/>
      <c r="G81" s="63"/>
      <c r="H81" s="63"/>
      <c r="I81" s="63"/>
      <c r="J81" s="63"/>
      <c r="K81" s="63"/>
      <c r="L81" s="63"/>
      <c r="M81" s="63"/>
      <c r="N81" s="103">
        <f t="shared" si="13"/>
        <v>571.96</v>
      </c>
      <c r="O81" s="289">
        <f t="shared" si="14"/>
        <v>0.16341714285714287</v>
      </c>
      <c r="P81" s="63">
        <f>+'budget entry'!F119</f>
        <v>3500</v>
      </c>
      <c r="Q81" s="63">
        <v>3300</v>
      </c>
    </row>
    <row r="82" spans="1:20" s="195" customFormat="1" x14ac:dyDescent="0.3">
      <c r="A82" s="2" t="s">
        <v>616</v>
      </c>
      <c r="B82" s="2">
        <f>SUM(B72:B81)</f>
        <v>6190.48</v>
      </c>
      <c r="C82" s="2">
        <f>SUM(C72:C81)</f>
        <v>5661.0099999999993</v>
      </c>
      <c r="D82" s="2">
        <f>SUM(D72:D81)</f>
        <v>0</v>
      </c>
      <c r="E82" s="2">
        <f>SUM(E72:E81)</f>
        <v>0</v>
      </c>
      <c r="F82" s="2">
        <f t="shared" ref="F82:M82" si="15">SUM(F72:F81)</f>
        <v>0</v>
      </c>
      <c r="G82" s="2">
        <f t="shared" si="15"/>
        <v>0</v>
      </c>
      <c r="H82" s="2">
        <f t="shared" si="15"/>
        <v>0</v>
      </c>
      <c r="I82" s="2">
        <f t="shared" si="15"/>
        <v>0</v>
      </c>
      <c r="J82" s="2">
        <f t="shared" si="15"/>
        <v>0</v>
      </c>
      <c r="K82" s="2">
        <f t="shared" si="15"/>
        <v>0</v>
      </c>
      <c r="L82" s="2">
        <f t="shared" si="15"/>
        <v>0</v>
      </c>
      <c r="M82" s="2">
        <f t="shared" si="15"/>
        <v>0</v>
      </c>
      <c r="N82" s="2">
        <f>SUM(N72:N81)</f>
        <v>11851.489999999998</v>
      </c>
      <c r="O82" s="286">
        <f t="shared" si="14"/>
        <v>0.14120852148840088</v>
      </c>
      <c r="P82" s="2">
        <f>SUM(P72:P81)</f>
        <v>83929</v>
      </c>
      <c r="Q82" s="2">
        <f>SUM(Q72:Q81)</f>
        <v>80061</v>
      </c>
    </row>
    <row r="83" spans="1:20" s="195" customFormat="1" ht="10.5" customHeight="1" x14ac:dyDescent="0.3">
      <c r="A83" s="51"/>
      <c r="B83" s="188"/>
      <c r="C83" s="188"/>
      <c r="D83" s="188"/>
      <c r="E83" s="188"/>
      <c r="F83" s="188"/>
      <c r="G83" s="188"/>
      <c r="H83" s="188"/>
      <c r="I83" s="188"/>
      <c r="J83" s="188"/>
      <c r="K83" s="188"/>
      <c r="L83" s="188"/>
      <c r="M83" s="188"/>
      <c r="N83" s="188"/>
      <c r="O83" s="379"/>
      <c r="P83" s="188"/>
      <c r="Q83" s="188"/>
    </row>
    <row r="84" spans="1:20" s="195" customFormat="1" x14ac:dyDescent="0.3">
      <c r="A84" s="128" t="s">
        <v>134</v>
      </c>
      <c r="B84" s="51"/>
      <c r="C84" s="51"/>
      <c r="D84" s="51"/>
      <c r="E84" s="51"/>
      <c r="F84" s="51"/>
      <c r="G84" s="51"/>
      <c r="H84" s="51"/>
      <c r="I84" s="51"/>
      <c r="J84" s="51"/>
      <c r="K84" s="51"/>
      <c r="L84" s="51"/>
      <c r="M84" s="51"/>
      <c r="N84" s="51"/>
      <c r="O84" s="293"/>
      <c r="P84" s="51"/>
      <c r="Q84" s="51"/>
    </row>
    <row r="85" spans="1:20" s="195" customFormat="1" x14ac:dyDescent="0.3">
      <c r="A85" s="78" t="s">
        <v>1</v>
      </c>
      <c r="B85" s="51">
        <v>3900.01</v>
      </c>
      <c r="C85" s="51">
        <v>1952.29</v>
      </c>
      <c r="D85" s="51"/>
      <c r="E85" s="51"/>
      <c r="F85" s="51"/>
      <c r="G85" s="51"/>
      <c r="H85" s="51"/>
      <c r="I85" s="51"/>
      <c r="J85" s="51"/>
      <c r="K85" s="51"/>
      <c r="L85" s="51"/>
      <c r="M85" s="51"/>
      <c r="N85" s="79">
        <f t="shared" ref="N85:N94" si="16">SUM(B85:M85)</f>
        <v>5852.3</v>
      </c>
      <c r="O85" s="289">
        <f t="shared" ref="O85:O95" si="17">N85/P85</f>
        <v>0.29261500000000001</v>
      </c>
      <c r="P85" s="51">
        <f>+'budget entry'!F123</f>
        <v>20000</v>
      </c>
      <c r="Q85" s="51">
        <v>30168</v>
      </c>
    </row>
    <row r="86" spans="1:20" s="195" customFormat="1" x14ac:dyDescent="0.3">
      <c r="A86" s="78" t="s">
        <v>497</v>
      </c>
      <c r="B86" s="51">
        <v>961.49</v>
      </c>
      <c r="C86" s="51">
        <v>654.66</v>
      </c>
      <c r="D86" s="51"/>
      <c r="E86" s="51"/>
      <c r="F86" s="51"/>
      <c r="G86" s="51"/>
      <c r="H86" s="51"/>
      <c r="I86" s="51"/>
      <c r="J86" s="51"/>
      <c r="K86" s="51"/>
      <c r="L86" s="51"/>
      <c r="M86" s="51"/>
      <c r="N86" s="79">
        <f t="shared" si="16"/>
        <v>1616.15</v>
      </c>
      <c r="O86" s="289">
        <f t="shared" si="17"/>
        <v>0.25371271585557303</v>
      </c>
      <c r="P86" s="51">
        <f>+'budget entry'!F124+'budget entry'!F125+'budget entry'!F126</f>
        <v>6370</v>
      </c>
      <c r="Q86" s="51">
        <f>437+6154+377+7800</f>
        <v>14768</v>
      </c>
      <c r="S86" s="463"/>
      <c r="T86" s="463"/>
    </row>
    <row r="87" spans="1:20" s="195" customFormat="1" x14ac:dyDescent="0.3">
      <c r="A87" s="78" t="s">
        <v>139</v>
      </c>
      <c r="B87" s="51">
        <v>696.83</v>
      </c>
      <c r="C87" s="51"/>
      <c r="D87" s="51"/>
      <c r="E87" s="51"/>
      <c r="F87" s="51"/>
      <c r="G87" s="51"/>
      <c r="H87" s="51"/>
      <c r="I87" s="51"/>
      <c r="J87" s="51"/>
      <c r="K87" s="51"/>
      <c r="L87" s="51"/>
      <c r="M87" s="51"/>
      <c r="N87" s="79">
        <f t="shared" si="16"/>
        <v>696.83</v>
      </c>
      <c r="O87" s="289">
        <f t="shared" si="17"/>
        <v>1.39366E-2</v>
      </c>
      <c r="P87" s="51">
        <f>+'budget entry'!F127</f>
        <v>50000</v>
      </c>
      <c r="Q87" s="51">
        <v>32400</v>
      </c>
      <c r="R87" s="197" t="s">
        <v>738</v>
      </c>
    </row>
    <row r="88" spans="1:20" s="195" customFormat="1" x14ac:dyDescent="0.3">
      <c r="A88" s="79" t="s">
        <v>10</v>
      </c>
      <c r="B88" s="51"/>
      <c r="C88" s="51">
        <v>471</v>
      </c>
      <c r="D88" s="51"/>
      <c r="E88" s="51"/>
      <c r="F88" s="51"/>
      <c r="G88" s="51"/>
      <c r="H88" s="51"/>
      <c r="I88" s="51"/>
      <c r="J88" s="51"/>
      <c r="K88" s="51"/>
      <c r="L88" s="51"/>
      <c r="M88" s="51"/>
      <c r="N88" s="79">
        <f t="shared" si="16"/>
        <v>471</v>
      </c>
      <c r="O88" s="289">
        <f t="shared" si="17"/>
        <v>0.157</v>
      </c>
      <c r="P88" s="51">
        <f>+'budget entry'!F128</f>
        <v>3000</v>
      </c>
      <c r="Q88" s="51">
        <v>3000</v>
      </c>
    </row>
    <row r="89" spans="1:20" s="195" customFormat="1" x14ac:dyDescent="0.3">
      <c r="A89" s="78" t="s">
        <v>8</v>
      </c>
      <c r="B89" s="51">
        <v>201</v>
      </c>
      <c r="C89" s="51">
        <v>201</v>
      </c>
      <c r="D89" s="51"/>
      <c r="E89" s="51"/>
      <c r="F89" s="51"/>
      <c r="G89" s="51"/>
      <c r="H89" s="51"/>
      <c r="I89" s="51"/>
      <c r="J89" s="51"/>
      <c r="K89" s="51"/>
      <c r="L89" s="51"/>
      <c r="M89" s="51"/>
      <c r="N89" s="79">
        <f t="shared" si="16"/>
        <v>402</v>
      </c>
      <c r="O89" s="289">
        <f t="shared" si="17"/>
        <v>0.1608</v>
      </c>
      <c r="P89" s="51">
        <f>+'budget entry'!F129</f>
        <v>2500</v>
      </c>
      <c r="Q89" s="51">
        <v>2500</v>
      </c>
    </row>
    <row r="90" spans="1:20" s="195" customFormat="1" x14ac:dyDescent="0.3">
      <c r="A90" s="78" t="s">
        <v>46</v>
      </c>
      <c r="B90" s="51">
        <v>2075.5</v>
      </c>
      <c r="C90" s="51">
        <v>1461.06</v>
      </c>
      <c r="D90" s="51"/>
      <c r="E90" s="51"/>
      <c r="F90" s="51"/>
      <c r="G90" s="51"/>
      <c r="H90" s="51"/>
      <c r="I90" s="51"/>
      <c r="J90" s="51"/>
      <c r="K90" s="51"/>
      <c r="L90" s="51"/>
      <c r="M90" s="51"/>
      <c r="N90" s="79">
        <f t="shared" si="16"/>
        <v>3536.56</v>
      </c>
      <c r="O90" s="289">
        <f t="shared" si="17"/>
        <v>0.17682799999999999</v>
      </c>
      <c r="P90" s="51">
        <f>+'budget entry'!F130</f>
        <v>20000</v>
      </c>
      <c r="Q90" s="51">
        <v>9000</v>
      </c>
    </row>
    <row r="91" spans="1:20" s="195" customFormat="1" x14ac:dyDescent="0.3">
      <c r="A91" s="78" t="s">
        <v>66</v>
      </c>
      <c r="B91" s="51">
        <v>770.94</v>
      </c>
      <c r="C91" s="51">
        <v>948.94</v>
      </c>
      <c r="D91" s="51"/>
      <c r="E91" s="51"/>
      <c r="F91" s="51"/>
      <c r="G91" s="51"/>
      <c r="H91" s="51"/>
      <c r="I91" s="51"/>
      <c r="J91" s="51"/>
      <c r="K91" s="51"/>
      <c r="L91" s="51"/>
      <c r="M91" s="51"/>
      <c r="N91" s="79">
        <f t="shared" si="16"/>
        <v>1719.88</v>
      </c>
      <c r="O91" s="289">
        <f t="shared" si="17"/>
        <v>0.171988</v>
      </c>
      <c r="P91" s="51">
        <f>+'budget entry'!F131</f>
        <v>10000</v>
      </c>
      <c r="Q91" s="51">
        <v>11000</v>
      </c>
    </row>
    <row r="92" spans="1:20" s="195" customFormat="1" x14ac:dyDescent="0.3">
      <c r="A92" s="78" t="s">
        <v>647</v>
      </c>
      <c r="B92" s="51"/>
      <c r="C92" s="51">
        <v>319.72000000000003</v>
      </c>
      <c r="D92" s="51"/>
      <c r="E92" s="51"/>
      <c r="F92" s="51"/>
      <c r="G92" s="51"/>
      <c r="H92" s="51"/>
      <c r="I92" s="51"/>
      <c r="J92" s="51"/>
      <c r="K92" s="51"/>
      <c r="L92" s="51"/>
      <c r="M92" s="51"/>
      <c r="N92" s="79">
        <f t="shared" si="16"/>
        <v>319.72000000000003</v>
      </c>
      <c r="O92" s="289">
        <f t="shared" si="17"/>
        <v>1.0657333333333335E-2</v>
      </c>
      <c r="P92" s="51">
        <f>+'budget entry'!F133</f>
        <v>30000</v>
      </c>
      <c r="Q92" s="51">
        <v>40000</v>
      </c>
    </row>
    <row r="93" spans="1:20" s="195" customFormat="1" x14ac:dyDescent="0.3">
      <c r="A93" s="78" t="s">
        <v>732</v>
      </c>
      <c r="B93" s="51">
        <v>106.31</v>
      </c>
      <c r="C93" s="51">
        <v>500</v>
      </c>
      <c r="D93" s="51"/>
      <c r="E93" s="51"/>
      <c r="F93" s="51"/>
      <c r="G93" s="51"/>
      <c r="H93" s="51"/>
      <c r="I93" s="51"/>
      <c r="J93" s="51"/>
      <c r="K93" s="51"/>
      <c r="L93" s="51"/>
      <c r="M93" s="51"/>
      <c r="N93" s="79">
        <f t="shared" si="16"/>
        <v>606.30999999999995</v>
      </c>
      <c r="O93" s="289"/>
      <c r="P93" s="51">
        <f>+'budget entry'!F132</f>
        <v>67867</v>
      </c>
      <c r="Q93" s="51"/>
    </row>
    <row r="94" spans="1:20" s="195" customFormat="1" x14ac:dyDescent="0.3">
      <c r="A94" s="78" t="s">
        <v>9</v>
      </c>
      <c r="B94" s="63">
        <v>3527.89</v>
      </c>
      <c r="C94" s="63">
        <v>2807.52</v>
      </c>
      <c r="D94" s="63"/>
      <c r="E94" s="63"/>
      <c r="F94" s="63"/>
      <c r="G94" s="63"/>
      <c r="H94" s="63"/>
      <c r="I94" s="63"/>
      <c r="J94" s="63"/>
      <c r="K94" s="63"/>
      <c r="L94" s="63"/>
      <c r="M94" s="63"/>
      <c r="N94" s="103">
        <f t="shared" si="16"/>
        <v>6335.41</v>
      </c>
      <c r="O94" s="289">
        <f t="shared" si="17"/>
        <v>0.12670819999999999</v>
      </c>
      <c r="P94" s="63">
        <f>+'budget entry'!F134</f>
        <v>50000</v>
      </c>
      <c r="Q94" s="63">
        <v>38500</v>
      </c>
    </row>
    <row r="95" spans="1:20" s="195" customFormat="1" x14ac:dyDescent="0.3">
      <c r="A95" s="2" t="s">
        <v>577</v>
      </c>
      <c r="B95" s="2">
        <f t="shared" ref="B95:N95" si="18">SUM(B85:B94)</f>
        <v>12239.97</v>
      </c>
      <c r="C95" s="2">
        <f t="shared" si="18"/>
        <v>9316.19</v>
      </c>
      <c r="D95" s="2">
        <f t="shared" si="18"/>
        <v>0</v>
      </c>
      <c r="E95" s="2">
        <f t="shared" si="18"/>
        <v>0</v>
      </c>
      <c r="F95" s="2">
        <f t="shared" si="18"/>
        <v>0</v>
      </c>
      <c r="G95" s="2">
        <f t="shared" si="18"/>
        <v>0</v>
      </c>
      <c r="H95" s="2">
        <f t="shared" si="18"/>
        <v>0</v>
      </c>
      <c r="I95" s="2">
        <f t="shared" si="18"/>
        <v>0</v>
      </c>
      <c r="J95" s="2">
        <f t="shared" si="18"/>
        <v>0</v>
      </c>
      <c r="K95" s="2">
        <f t="shared" si="18"/>
        <v>0</v>
      </c>
      <c r="L95" s="2">
        <f t="shared" si="18"/>
        <v>0</v>
      </c>
      <c r="M95" s="2">
        <f t="shared" si="18"/>
        <v>0</v>
      </c>
      <c r="N95" s="2">
        <f t="shared" si="18"/>
        <v>21556.16</v>
      </c>
      <c r="O95" s="286">
        <f t="shared" si="17"/>
        <v>8.2992257552832294E-2</v>
      </c>
      <c r="P95" s="2">
        <f>SUM(P85:P94)</f>
        <v>259737</v>
      </c>
      <c r="Q95" s="2">
        <f>SUM(Q85:Q94)</f>
        <v>181336</v>
      </c>
    </row>
    <row r="96" spans="1:20" s="195" customFormat="1" ht="9" customHeight="1" x14ac:dyDescent="0.3">
      <c r="A96" s="51"/>
      <c r="B96" s="51"/>
      <c r="C96" s="51"/>
      <c r="D96" s="51"/>
      <c r="E96" s="51"/>
      <c r="F96" s="51"/>
      <c r="G96" s="51"/>
      <c r="H96" s="51"/>
      <c r="I96" s="51"/>
      <c r="J96" s="51"/>
      <c r="K96" s="51"/>
      <c r="L96" s="51"/>
      <c r="M96" s="51"/>
      <c r="N96" s="51"/>
      <c r="O96" s="293"/>
      <c r="P96" s="51"/>
      <c r="Q96" s="51"/>
    </row>
    <row r="97" spans="1:20" s="195" customFormat="1" x14ac:dyDescent="0.3">
      <c r="A97" s="128" t="s">
        <v>236</v>
      </c>
      <c r="B97" s="51"/>
      <c r="C97" s="51"/>
      <c r="D97" s="51"/>
      <c r="E97" s="51"/>
      <c r="F97" s="51"/>
      <c r="G97" s="51"/>
      <c r="H97" s="51"/>
      <c r="I97" s="51"/>
      <c r="J97" s="51"/>
      <c r="K97" s="51"/>
      <c r="L97" s="51"/>
      <c r="M97" s="51"/>
      <c r="N97" s="51"/>
      <c r="O97" s="293"/>
      <c r="P97" s="51"/>
      <c r="Q97" s="51"/>
    </row>
    <row r="98" spans="1:20" s="195" customFormat="1" x14ac:dyDescent="0.3">
      <c r="A98" s="78" t="s">
        <v>1</v>
      </c>
      <c r="B98" s="51">
        <v>80.48</v>
      </c>
      <c r="C98" s="51">
        <v>1752.45</v>
      </c>
      <c r="D98" s="51"/>
      <c r="E98" s="51"/>
      <c r="F98" s="51"/>
      <c r="G98" s="51"/>
      <c r="H98" s="51"/>
      <c r="I98" s="51"/>
      <c r="J98" s="51"/>
      <c r="K98" s="51"/>
      <c r="L98" s="51"/>
      <c r="M98" s="51"/>
      <c r="N98" s="79">
        <f>SUM(B98:M98)</f>
        <v>1832.93</v>
      </c>
      <c r="O98" s="289">
        <f>N98/P98</f>
        <v>9.1646500000000006E-2</v>
      </c>
      <c r="P98" s="51">
        <f>+'budget entry'!F138</f>
        <v>20000</v>
      </c>
      <c r="Q98" s="51">
        <v>20000</v>
      </c>
    </row>
    <row r="99" spans="1:20" s="195" customFormat="1" x14ac:dyDescent="0.3">
      <c r="A99" s="78" t="s">
        <v>497</v>
      </c>
      <c r="B99" s="51">
        <v>17.59</v>
      </c>
      <c r="C99" s="51">
        <v>391.85</v>
      </c>
      <c r="D99" s="51"/>
      <c r="E99" s="51"/>
      <c r="F99" s="51"/>
      <c r="G99" s="51"/>
      <c r="H99" s="51"/>
      <c r="I99" s="51"/>
      <c r="J99" s="51"/>
      <c r="K99" s="51"/>
      <c r="L99" s="51"/>
      <c r="M99" s="51"/>
      <c r="N99" s="79">
        <f>SUM(B99:M99)</f>
        <v>409.44</v>
      </c>
      <c r="O99" s="289">
        <f>N99/P99</f>
        <v>9.3693363844393598E-2</v>
      </c>
      <c r="P99" s="51">
        <f>+'budget entry'!F139+'budget entry'!F140</f>
        <v>4370</v>
      </c>
      <c r="Q99" s="51">
        <f>290+4080+400</f>
        <v>4770</v>
      </c>
    </row>
    <row r="100" spans="1:20" s="195" customFormat="1" x14ac:dyDescent="0.3">
      <c r="A100" s="78" t="s">
        <v>479</v>
      </c>
      <c r="B100" s="51"/>
      <c r="C100" s="51">
        <v>211.3</v>
      </c>
      <c r="D100" s="51"/>
      <c r="E100" s="51"/>
      <c r="F100" s="51"/>
      <c r="G100" s="51"/>
      <c r="H100" s="51"/>
      <c r="I100" s="51"/>
      <c r="J100" s="51"/>
      <c r="K100" s="51"/>
      <c r="L100" s="51"/>
      <c r="M100" s="51"/>
      <c r="N100" s="79">
        <f>SUM(B100:M100)</f>
        <v>211.3</v>
      </c>
      <c r="O100" s="289">
        <f>N100/P100</f>
        <v>4.2259999999999999E-2</v>
      </c>
      <c r="P100" s="51">
        <f>+'budget entry'!F141</f>
        <v>5000</v>
      </c>
      <c r="Q100" s="51">
        <v>5000</v>
      </c>
    </row>
    <row r="101" spans="1:20" s="195" customFormat="1" x14ac:dyDescent="0.3">
      <c r="A101" s="78" t="s">
        <v>241</v>
      </c>
      <c r="B101" s="63"/>
      <c r="C101" s="63">
        <v>429</v>
      </c>
      <c r="D101" s="63"/>
      <c r="E101" s="63"/>
      <c r="F101" s="63"/>
      <c r="G101" s="63"/>
      <c r="H101" s="63"/>
      <c r="I101" s="63"/>
      <c r="J101" s="63"/>
      <c r="K101" s="63"/>
      <c r="L101" s="63"/>
      <c r="M101" s="63"/>
      <c r="N101" s="103">
        <f>SUM(B101:M101)</f>
        <v>429</v>
      </c>
      <c r="O101" s="289">
        <f>N101/P101</f>
        <v>2.145E-2</v>
      </c>
      <c r="P101" s="63">
        <f>+'budget entry'!F142</f>
        <v>20000</v>
      </c>
      <c r="Q101" s="63">
        <v>20000</v>
      </c>
    </row>
    <row r="102" spans="1:20" s="195" customFormat="1" x14ac:dyDescent="0.3">
      <c r="A102" s="60" t="s">
        <v>236</v>
      </c>
      <c r="B102" s="87">
        <f>SUM(B98:B101)</f>
        <v>98.070000000000007</v>
      </c>
      <c r="C102" s="87">
        <f>SUM(C98:C101)</f>
        <v>2784.6000000000004</v>
      </c>
      <c r="D102" s="87">
        <f>SUM(D98:D101)</f>
        <v>0</v>
      </c>
      <c r="E102" s="87">
        <f>SUM(E98:E101)</f>
        <v>0</v>
      </c>
      <c r="F102" s="87">
        <f t="shared" ref="F102:M102" si="19">SUM(F98:F101)</f>
        <v>0</v>
      </c>
      <c r="G102" s="87">
        <f t="shared" si="19"/>
        <v>0</v>
      </c>
      <c r="H102" s="87">
        <f t="shared" si="19"/>
        <v>0</v>
      </c>
      <c r="I102" s="87">
        <f t="shared" si="19"/>
        <v>0</v>
      </c>
      <c r="J102" s="87">
        <f t="shared" si="19"/>
        <v>0</v>
      </c>
      <c r="K102" s="87">
        <f t="shared" si="19"/>
        <v>0</v>
      </c>
      <c r="L102" s="87">
        <f t="shared" si="19"/>
        <v>0</v>
      </c>
      <c r="M102" s="87">
        <f t="shared" si="19"/>
        <v>0</v>
      </c>
      <c r="N102" s="87">
        <f>SUM(N98:N101)</f>
        <v>2882.67</v>
      </c>
      <c r="O102" s="286">
        <f>N102/P102</f>
        <v>5.8389102693943692E-2</v>
      </c>
      <c r="P102" s="87">
        <f>SUM(P98:P101)</f>
        <v>49370</v>
      </c>
      <c r="Q102" s="87">
        <f>SUM(Q98:Q101)</f>
        <v>49770</v>
      </c>
    </row>
    <row r="103" spans="1:20" s="195" customFormat="1" ht="11.25" customHeight="1" x14ac:dyDescent="0.3">
      <c r="A103" s="51"/>
      <c r="B103" s="58"/>
      <c r="C103" s="58"/>
      <c r="D103" s="58"/>
      <c r="E103" s="58"/>
      <c r="F103" s="58"/>
      <c r="G103" s="58"/>
      <c r="H103" s="58"/>
      <c r="I103" s="58"/>
      <c r="J103" s="58"/>
      <c r="K103" s="58"/>
      <c r="L103" s="58"/>
      <c r="M103" s="58"/>
      <c r="N103" s="58"/>
      <c r="O103" s="344"/>
      <c r="P103" s="58"/>
      <c r="Q103" s="58"/>
    </row>
    <row r="104" spans="1:20" s="195" customFormat="1" x14ac:dyDescent="0.3">
      <c r="A104" s="128" t="s">
        <v>575</v>
      </c>
      <c r="B104" s="58"/>
      <c r="C104" s="58"/>
      <c r="D104" s="58"/>
      <c r="E104" s="58"/>
      <c r="F104" s="58"/>
      <c r="G104" s="58"/>
      <c r="H104" s="58"/>
      <c r="I104" s="58"/>
      <c r="J104" s="58"/>
      <c r="K104" s="58"/>
      <c r="L104" s="58"/>
      <c r="M104" s="58"/>
      <c r="N104" s="58"/>
      <c r="O104" s="344"/>
      <c r="P104" s="58"/>
      <c r="Q104" s="58"/>
      <c r="T104" s="477"/>
    </row>
    <row r="105" spans="1:20" s="195" customFormat="1" x14ac:dyDescent="0.3">
      <c r="A105" s="78" t="s">
        <v>480</v>
      </c>
      <c r="B105" s="58">
        <v>7544.18</v>
      </c>
      <c r="C105" s="58">
        <v>3667.95</v>
      </c>
      <c r="D105" s="58"/>
      <c r="E105" s="58"/>
      <c r="F105" s="58"/>
      <c r="G105" s="58"/>
      <c r="H105" s="58"/>
      <c r="I105" s="58"/>
      <c r="J105" s="58"/>
      <c r="K105" s="58"/>
      <c r="L105" s="58"/>
      <c r="M105" s="58"/>
      <c r="N105" s="79">
        <f t="shared" ref="N105:N111" si="20">SUM(B105:M105)</f>
        <v>11212.130000000001</v>
      </c>
      <c r="O105" s="286">
        <f t="shared" ref="O105:O112" si="21">N105/P105</f>
        <v>0.56060650000000001</v>
      </c>
      <c r="P105" s="58">
        <f>+'budget entry'!F146</f>
        <v>20000</v>
      </c>
      <c r="Q105" s="58">
        <v>10000</v>
      </c>
    </row>
    <row r="106" spans="1:20" s="195" customFormat="1" x14ac:dyDescent="0.3">
      <c r="A106" s="78" t="s">
        <v>213</v>
      </c>
      <c r="B106" s="58">
        <v>2449</v>
      </c>
      <c r="C106" s="58">
        <v>2449.5</v>
      </c>
      <c r="D106" s="58"/>
      <c r="E106" s="58"/>
      <c r="F106" s="58"/>
      <c r="G106" s="58"/>
      <c r="H106" s="58"/>
      <c r="I106" s="58"/>
      <c r="J106" s="58"/>
      <c r="K106" s="58"/>
      <c r="L106" s="58"/>
      <c r="M106" s="58"/>
      <c r="N106" s="79">
        <f t="shared" si="20"/>
        <v>4898.5</v>
      </c>
      <c r="O106" s="286">
        <f t="shared" si="21"/>
        <v>0.1224625</v>
      </c>
      <c r="P106" s="58">
        <f>+'budget entry'!F147</f>
        <v>40000</v>
      </c>
      <c r="Q106" s="58">
        <v>30000</v>
      </c>
    </row>
    <row r="107" spans="1:20" s="195" customFormat="1" x14ac:dyDescent="0.3">
      <c r="A107" s="78" t="s">
        <v>47</v>
      </c>
      <c r="B107" s="58"/>
      <c r="C107" s="58">
        <v>646.6</v>
      </c>
      <c r="D107" s="58"/>
      <c r="E107" s="58"/>
      <c r="F107" s="58"/>
      <c r="G107" s="58"/>
      <c r="H107" s="58"/>
      <c r="I107" s="58"/>
      <c r="J107" s="58"/>
      <c r="K107" s="58"/>
      <c r="L107" s="58"/>
      <c r="M107" s="58"/>
      <c r="N107" s="79">
        <f t="shared" si="20"/>
        <v>646.6</v>
      </c>
      <c r="O107" s="286">
        <f t="shared" si="21"/>
        <v>2.9390909090909093E-2</v>
      </c>
      <c r="P107" s="58">
        <f>+'budget entry'!F148</f>
        <v>22000</v>
      </c>
      <c r="Q107" s="58">
        <v>22000</v>
      </c>
    </row>
    <row r="108" spans="1:20" s="195" customFormat="1" x14ac:dyDescent="0.3">
      <c r="A108" s="78" t="s">
        <v>11</v>
      </c>
      <c r="B108" s="58">
        <v>2891.6</v>
      </c>
      <c r="C108" s="58">
        <v>2783.57</v>
      </c>
      <c r="D108" s="58"/>
      <c r="E108" s="58"/>
      <c r="F108" s="58"/>
      <c r="G108" s="58"/>
      <c r="H108" s="58"/>
      <c r="I108" s="58"/>
      <c r="J108" s="58"/>
      <c r="K108" s="58"/>
      <c r="L108" s="58"/>
      <c r="M108" s="58"/>
      <c r="N108" s="79">
        <f t="shared" si="20"/>
        <v>5675.17</v>
      </c>
      <c r="O108" s="286">
        <f t="shared" si="21"/>
        <v>0.32429542857142857</v>
      </c>
      <c r="P108" s="58">
        <f>+'budget entry'!F149</f>
        <v>17500</v>
      </c>
      <c r="Q108" s="58">
        <v>17500</v>
      </c>
    </row>
    <row r="109" spans="1:20" s="195" customFormat="1" x14ac:dyDescent="0.3">
      <c r="A109" s="78" t="s">
        <v>12</v>
      </c>
      <c r="B109" s="58">
        <v>19.8</v>
      </c>
      <c r="C109" s="58">
        <v>148.5</v>
      </c>
      <c r="D109" s="58"/>
      <c r="E109" s="58"/>
      <c r="F109" s="58"/>
      <c r="G109" s="58"/>
      <c r="H109" s="58"/>
      <c r="I109" s="58"/>
      <c r="J109" s="58"/>
      <c r="K109" s="58"/>
      <c r="L109" s="58"/>
      <c r="M109" s="58"/>
      <c r="N109" s="79">
        <f t="shared" si="20"/>
        <v>168.3</v>
      </c>
      <c r="O109" s="286">
        <f t="shared" si="21"/>
        <v>0.16830000000000001</v>
      </c>
      <c r="P109" s="58">
        <f>+'budget entry'!F150</f>
        <v>1000</v>
      </c>
      <c r="Q109" s="58">
        <v>1000</v>
      </c>
    </row>
    <row r="110" spans="1:20" s="195" customFormat="1" x14ac:dyDescent="0.3">
      <c r="A110" s="78" t="s">
        <v>13</v>
      </c>
      <c r="B110" s="58"/>
      <c r="C110" s="58"/>
      <c r="D110" s="58"/>
      <c r="E110" s="58"/>
      <c r="F110" s="58"/>
      <c r="G110" s="58"/>
      <c r="H110" s="58"/>
      <c r="I110" s="58"/>
      <c r="J110" s="58"/>
      <c r="K110" s="58"/>
      <c r="L110" s="58"/>
      <c r="M110" s="58"/>
      <c r="N110" s="79">
        <f t="shared" si="20"/>
        <v>0</v>
      </c>
      <c r="O110" s="286">
        <v>0</v>
      </c>
      <c r="P110" s="58">
        <f>+'budget entry'!F151</f>
        <v>6000</v>
      </c>
      <c r="Q110" s="58">
        <v>6000</v>
      </c>
    </row>
    <row r="111" spans="1:20" s="195" customFormat="1" x14ac:dyDescent="0.3">
      <c r="A111" s="78" t="s">
        <v>64</v>
      </c>
      <c r="B111" s="63"/>
      <c r="C111" s="63">
        <v>625.20000000000005</v>
      </c>
      <c r="D111" s="63"/>
      <c r="E111" s="63"/>
      <c r="F111" s="63"/>
      <c r="G111" s="63"/>
      <c r="H111" s="63"/>
      <c r="I111" s="63"/>
      <c r="J111" s="63"/>
      <c r="K111" s="63"/>
      <c r="L111" s="63"/>
      <c r="M111" s="63"/>
      <c r="N111" s="103">
        <f t="shared" si="20"/>
        <v>625.20000000000005</v>
      </c>
      <c r="O111" s="286">
        <f t="shared" si="21"/>
        <v>0.26971527178602245</v>
      </c>
      <c r="P111" s="63">
        <f>+'budget entry'!F152</f>
        <v>2318</v>
      </c>
      <c r="Q111" s="63">
        <v>2318</v>
      </c>
    </row>
    <row r="112" spans="1:20" s="195" customFormat="1" x14ac:dyDescent="0.3">
      <c r="A112" s="2" t="s">
        <v>575</v>
      </c>
      <c r="B112" s="105">
        <f t="shared" ref="B112:M112" si="22">SUM(B105:B111)</f>
        <v>12904.58</v>
      </c>
      <c r="C112" s="105">
        <f t="shared" si="22"/>
        <v>10321.320000000002</v>
      </c>
      <c r="D112" s="105">
        <f t="shared" si="22"/>
        <v>0</v>
      </c>
      <c r="E112" s="105">
        <f t="shared" si="22"/>
        <v>0</v>
      </c>
      <c r="F112" s="105">
        <f t="shared" si="22"/>
        <v>0</v>
      </c>
      <c r="G112" s="105">
        <f t="shared" si="22"/>
        <v>0</v>
      </c>
      <c r="H112" s="105">
        <f t="shared" si="22"/>
        <v>0</v>
      </c>
      <c r="I112" s="105">
        <f t="shared" si="22"/>
        <v>0</v>
      </c>
      <c r="J112" s="105">
        <f t="shared" si="22"/>
        <v>0</v>
      </c>
      <c r="K112" s="105">
        <f t="shared" si="22"/>
        <v>0</v>
      </c>
      <c r="L112" s="105">
        <f t="shared" si="22"/>
        <v>0</v>
      </c>
      <c r="M112" s="105">
        <f t="shared" si="22"/>
        <v>0</v>
      </c>
      <c r="N112" s="105">
        <f>SUM(N105:N111)</f>
        <v>23225.9</v>
      </c>
      <c r="O112" s="286">
        <f t="shared" si="21"/>
        <v>0.21343803414876217</v>
      </c>
      <c r="P112" s="105">
        <f>SUM(P105:P111)</f>
        <v>108818</v>
      </c>
      <c r="Q112" s="105">
        <f>SUM(Q105:Q111)</f>
        <v>88818</v>
      </c>
    </row>
    <row r="113" spans="1:18" s="195" customFormat="1" ht="9.75" customHeight="1" x14ac:dyDescent="0.3">
      <c r="A113" s="51"/>
      <c r="B113" s="375"/>
      <c r="C113" s="375"/>
      <c r="D113" s="375"/>
      <c r="E113" s="375"/>
      <c r="F113" s="375"/>
      <c r="G113" s="375"/>
      <c r="H113" s="375"/>
      <c r="I113" s="375"/>
      <c r="J113" s="375"/>
      <c r="K113" s="375"/>
      <c r="L113" s="375"/>
      <c r="M113" s="375"/>
      <c r="N113" s="375"/>
      <c r="O113" s="346"/>
      <c r="P113" s="375"/>
      <c r="Q113" s="375"/>
    </row>
    <row r="114" spans="1:18" s="195" customFormat="1" x14ac:dyDescent="0.3">
      <c r="A114" s="128" t="s">
        <v>706</v>
      </c>
      <c r="B114" s="51"/>
      <c r="C114" s="51"/>
      <c r="D114" s="51"/>
      <c r="E114" s="51"/>
      <c r="F114" s="51"/>
      <c r="G114" s="51"/>
      <c r="H114" s="51"/>
      <c r="I114" s="51"/>
      <c r="J114" s="51"/>
      <c r="K114" s="51"/>
      <c r="L114" s="51"/>
      <c r="M114" s="51"/>
      <c r="N114" s="51"/>
      <c r="O114" s="339"/>
      <c r="P114" s="51"/>
      <c r="Q114" s="51"/>
    </row>
    <row r="115" spans="1:18" s="195" customFormat="1" x14ac:dyDescent="0.3">
      <c r="A115" s="78" t="s">
        <v>1</v>
      </c>
      <c r="B115" s="51"/>
      <c r="C115" s="51">
        <v>700.49</v>
      </c>
      <c r="D115" s="51"/>
      <c r="E115" s="51"/>
      <c r="F115" s="51"/>
      <c r="G115" s="51"/>
      <c r="H115" s="51"/>
      <c r="I115" s="51"/>
      <c r="J115" s="51"/>
      <c r="K115" s="51"/>
      <c r="L115" s="51"/>
      <c r="M115" s="51"/>
      <c r="N115" s="332">
        <f>SUM(B115:M115)</f>
        <v>700.49</v>
      </c>
      <c r="O115" s="339">
        <f>N115/P115</f>
        <v>0.12736181818181819</v>
      </c>
      <c r="P115" s="51">
        <f>+'budget entry'!F156</f>
        <v>5500</v>
      </c>
      <c r="Q115" s="51"/>
    </row>
    <row r="116" spans="1:18" s="195" customFormat="1" x14ac:dyDescent="0.3">
      <c r="A116" s="78" t="s">
        <v>497</v>
      </c>
      <c r="B116" s="51"/>
      <c r="C116" s="51">
        <v>179.23</v>
      </c>
      <c r="D116" s="51"/>
      <c r="E116" s="51"/>
      <c r="F116" s="51"/>
      <c r="G116" s="51"/>
      <c r="H116" s="51"/>
      <c r="I116" s="51"/>
      <c r="J116" s="51"/>
      <c r="K116" s="51"/>
      <c r="L116" s="51"/>
      <c r="M116" s="51"/>
      <c r="N116" s="332">
        <f>SUM(B116:M116)</f>
        <v>179.23</v>
      </c>
      <c r="O116" s="339">
        <f>N116/P116</f>
        <v>5.1681084198385234E-2</v>
      </c>
      <c r="P116" s="51">
        <f>+'budget entry'!F157+'budget entry'!F158+'budget entry'!F159</f>
        <v>3468</v>
      </c>
      <c r="Q116" s="51"/>
    </row>
    <row r="117" spans="1:18" s="195" customFormat="1" x14ac:dyDescent="0.3">
      <c r="A117" s="78" t="s">
        <v>503</v>
      </c>
      <c r="B117" s="63"/>
      <c r="C117" s="63"/>
      <c r="D117" s="63"/>
      <c r="E117" s="63"/>
      <c r="F117" s="63"/>
      <c r="G117" s="63"/>
      <c r="H117" s="63"/>
      <c r="I117" s="63"/>
      <c r="J117" s="63"/>
      <c r="K117" s="63"/>
      <c r="L117" s="63"/>
      <c r="M117" s="63"/>
      <c r="N117" s="334">
        <f>SUM(B117:M117)</f>
        <v>0</v>
      </c>
      <c r="O117" s="339">
        <f>N117/P117</f>
        <v>0</v>
      </c>
      <c r="P117" s="461">
        <f>+'budget entry'!F160</f>
        <v>500</v>
      </c>
      <c r="Q117" s="63"/>
    </row>
    <row r="118" spans="1:18" s="195" customFormat="1" x14ac:dyDescent="0.3">
      <c r="A118" s="60" t="s">
        <v>729</v>
      </c>
      <c r="B118" s="87">
        <f t="shared" ref="B118:N118" si="23">SUM(B115:B117)</f>
        <v>0</v>
      </c>
      <c r="C118" s="87">
        <f t="shared" si="23"/>
        <v>879.72</v>
      </c>
      <c r="D118" s="87">
        <f t="shared" si="23"/>
        <v>0</v>
      </c>
      <c r="E118" s="87">
        <f t="shared" si="23"/>
        <v>0</v>
      </c>
      <c r="F118" s="87">
        <f t="shared" si="23"/>
        <v>0</v>
      </c>
      <c r="G118" s="87">
        <f t="shared" si="23"/>
        <v>0</v>
      </c>
      <c r="H118" s="87">
        <f t="shared" si="23"/>
        <v>0</v>
      </c>
      <c r="I118" s="87">
        <f t="shared" si="23"/>
        <v>0</v>
      </c>
      <c r="J118" s="87">
        <f t="shared" si="23"/>
        <v>0</v>
      </c>
      <c r="K118" s="87">
        <f t="shared" si="23"/>
        <v>0</v>
      </c>
      <c r="L118" s="87">
        <f t="shared" si="23"/>
        <v>0</v>
      </c>
      <c r="M118" s="87">
        <f t="shared" si="23"/>
        <v>0</v>
      </c>
      <c r="N118" s="87">
        <f t="shared" si="23"/>
        <v>879.72</v>
      </c>
      <c r="O118" s="339">
        <f>N118/P118</f>
        <v>9.2915082382762998E-2</v>
      </c>
      <c r="P118" s="87">
        <f>SUM(P115:P117)</f>
        <v>9468</v>
      </c>
      <c r="Q118" s="87">
        <f>SUM(Q115:Q117)</f>
        <v>0</v>
      </c>
    </row>
    <row r="119" spans="1:18" s="195" customFormat="1" ht="9.75" customHeight="1" x14ac:dyDescent="0.3">
      <c r="A119" s="51"/>
      <c r="B119" s="375"/>
      <c r="C119" s="375"/>
      <c r="D119" s="375"/>
      <c r="E119" s="375"/>
      <c r="F119" s="375"/>
      <c r="G119" s="375"/>
      <c r="H119" s="375"/>
      <c r="I119" s="375"/>
      <c r="J119" s="375"/>
      <c r="K119" s="375"/>
      <c r="L119" s="375"/>
      <c r="M119" s="375"/>
      <c r="N119" s="375"/>
      <c r="O119" s="346"/>
      <c r="P119" s="375"/>
      <c r="Q119" s="375"/>
    </row>
    <row r="120" spans="1:18" s="195" customFormat="1" x14ac:dyDescent="0.3">
      <c r="A120" s="60" t="s">
        <v>481</v>
      </c>
      <c r="B120" s="84">
        <v>25817.77</v>
      </c>
      <c r="C120" s="84">
        <v>25817.77</v>
      </c>
      <c r="D120" s="84"/>
      <c r="E120" s="84"/>
      <c r="F120" s="84"/>
      <c r="G120" s="84"/>
      <c r="H120" s="84"/>
      <c r="I120" s="84"/>
      <c r="J120" s="84"/>
      <c r="K120" s="84"/>
      <c r="L120" s="84"/>
      <c r="M120" s="84"/>
      <c r="N120" s="257">
        <f>SUM(B120:M120)</f>
        <v>51635.54</v>
      </c>
      <c r="O120" s="345">
        <f>N120/P120</f>
        <v>0.33243333376253814</v>
      </c>
      <c r="P120" s="84">
        <f>+'budget entry'!F165</f>
        <v>155326</v>
      </c>
      <c r="Q120" s="84">
        <v>310000</v>
      </c>
    </row>
    <row r="121" spans="1:18" ht="9" customHeight="1" x14ac:dyDescent="0.3">
      <c r="B121" s="376"/>
      <c r="C121" s="376"/>
      <c r="D121" s="376"/>
      <c r="E121" s="376"/>
      <c r="F121" s="376"/>
      <c r="G121" s="376"/>
      <c r="H121" s="376" t="s">
        <v>15</v>
      </c>
      <c r="I121" s="376"/>
      <c r="J121" s="376"/>
      <c r="K121" s="376"/>
      <c r="L121" s="376"/>
      <c r="M121" s="376"/>
      <c r="N121" s="376"/>
      <c r="O121" s="377"/>
      <c r="P121" s="376"/>
      <c r="Q121" s="376"/>
    </row>
    <row r="122" spans="1:18" x14ac:dyDescent="0.3">
      <c r="A122" s="316" t="s">
        <v>600</v>
      </c>
      <c r="B122" s="326">
        <f t="shared" ref="B122:M122" si="24">+B120+B112+B102+B95+B82+B69+B59+B46+B41+B33+B118</f>
        <v>199353.38</v>
      </c>
      <c r="C122" s="326">
        <f t="shared" si="24"/>
        <v>240854.37999999998</v>
      </c>
      <c r="D122" s="326">
        <f t="shared" si="24"/>
        <v>0</v>
      </c>
      <c r="E122" s="326">
        <f t="shared" si="24"/>
        <v>0</v>
      </c>
      <c r="F122" s="326">
        <f t="shared" si="24"/>
        <v>0</v>
      </c>
      <c r="G122" s="326">
        <f t="shared" si="24"/>
        <v>0</v>
      </c>
      <c r="H122" s="326">
        <f t="shared" si="24"/>
        <v>0</v>
      </c>
      <c r="I122" s="326">
        <f t="shared" si="24"/>
        <v>0</v>
      </c>
      <c r="J122" s="326">
        <f t="shared" si="24"/>
        <v>0</v>
      </c>
      <c r="K122" s="326">
        <f t="shared" si="24"/>
        <v>0</v>
      </c>
      <c r="L122" s="326">
        <f t="shared" si="24"/>
        <v>0</v>
      </c>
      <c r="M122" s="326">
        <f t="shared" si="24"/>
        <v>0</v>
      </c>
      <c r="N122" s="326">
        <f>+N120+N112+N102+N95+N82+N69+N59+N46+N41+N33+N118</f>
        <v>440207.75999999989</v>
      </c>
      <c r="O122" s="327">
        <f>N122/P122</f>
        <v>0.15247548931541741</v>
      </c>
      <c r="P122" s="326">
        <f>+P120+P112+P102+P95+P82+P69+P59+P46+P41+P33+P118</f>
        <v>2887072.2893000003</v>
      </c>
      <c r="Q122" s="326">
        <f>+Q120+Q112+Q102+Q95+Q82+Q69+Q59+Q46+Q41+Q33</f>
        <v>2845738</v>
      </c>
      <c r="R122" s="353" t="s">
        <v>15</v>
      </c>
    </row>
    <row r="123" spans="1:18" s="195" customFormat="1" ht="9" customHeight="1" x14ac:dyDescent="0.3">
      <c r="A123" s="60"/>
      <c r="B123" s="87"/>
      <c r="C123" s="87"/>
      <c r="D123" s="87"/>
      <c r="E123" s="87"/>
      <c r="F123" s="87"/>
      <c r="G123" s="87"/>
      <c r="H123" s="87"/>
      <c r="I123" s="87"/>
      <c r="J123" s="87"/>
      <c r="K123" s="87"/>
      <c r="L123" s="87"/>
      <c r="M123" s="87"/>
      <c r="N123" s="87"/>
      <c r="O123" s="345"/>
      <c r="P123" s="87"/>
      <c r="Q123" s="87"/>
      <c r="R123" s="460"/>
    </row>
    <row r="124" spans="1:18" ht="12" customHeight="1" x14ac:dyDescent="0.3">
      <c r="A124" s="316" t="s">
        <v>605</v>
      </c>
      <c r="B124" s="265"/>
      <c r="C124" s="265"/>
      <c r="D124" s="265"/>
      <c r="E124" s="265"/>
      <c r="F124" s="265"/>
      <c r="G124" s="265"/>
      <c r="H124" s="265"/>
      <c r="I124" s="265"/>
      <c r="J124" s="265"/>
      <c r="K124" s="265"/>
      <c r="L124" s="265"/>
      <c r="M124" s="265"/>
      <c r="N124" s="265"/>
      <c r="O124" s="290"/>
      <c r="P124" s="265"/>
      <c r="Q124" s="265"/>
    </row>
    <row r="125" spans="1:18" x14ac:dyDescent="0.3">
      <c r="A125" s="316" t="s">
        <v>601</v>
      </c>
      <c r="B125" s="265"/>
      <c r="C125" s="262">
        <v>25000</v>
      </c>
      <c r="D125" s="265"/>
      <c r="E125" s="265"/>
      <c r="F125" s="265"/>
      <c r="G125" s="265"/>
      <c r="H125" s="265"/>
      <c r="I125" s="265"/>
      <c r="J125" s="265"/>
      <c r="K125" s="265"/>
      <c r="L125" s="265"/>
      <c r="M125" s="265"/>
      <c r="N125" s="332">
        <f>SUM(B125:M125)</f>
        <v>25000</v>
      </c>
      <c r="O125" s="290"/>
      <c r="P125" s="262">
        <f>+'budget entry'!F171</f>
        <v>10000</v>
      </c>
      <c r="Q125" s="265"/>
    </row>
    <row r="126" spans="1:18" ht="12.75" customHeight="1" x14ac:dyDescent="0.3">
      <c r="A126" s="316" t="s">
        <v>733</v>
      </c>
      <c r="B126" s="528">
        <f>+B125+B122</f>
        <v>199353.38</v>
      </c>
      <c r="C126" s="528">
        <f>+C125+C122</f>
        <v>265854.38</v>
      </c>
      <c r="D126" s="376"/>
      <c r="E126" s="376"/>
      <c r="F126" s="376"/>
      <c r="G126" s="376"/>
      <c r="H126" s="376"/>
      <c r="I126" s="376"/>
      <c r="J126" s="376"/>
      <c r="K126" s="376"/>
      <c r="L126" s="376"/>
      <c r="M126" s="376"/>
      <c r="N126" s="395">
        <f>+N125+N122</f>
        <v>465207.75999999989</v>
      </c>
      <c r="O126" s="346"/>
      <c r="P126" s="395">
        <f>+P125+P122</f>
        <v>2897072.2893000003</v>
      </c>
      <c r="Q126" s="395">
        <f>+Q125+Q122</f>
        <v>2845738</v>
      </c>
    </row>
    <row r="127" spans="1:18" x14ac:dyDescent="0.3">
      <c r="A127" s="316" t="s">
        <v>734</v>
      </c>
      <c r="B127" s="529">
        <f t="shared" ref="B127:M127" si="25">+B17-B122</f>
        <v>34957.420000000013</v>
      </c>
      <c r="C127" s="580">
        <f t="shared" si="25"/>
        <v>19123.930000000022</v>
      </c>
      <c r="D127" s="580">
        <f t="shared" si="25"/>
        <v>0</v>
      </c>
      <c r="E127" s="580">
        <f t="shared" si="25"/>
        <v>0</v>
      </c>
      <c r="F127" s="580">
        <f t="shared" si="25"/>
        <v>0</v>
      </c>
      <c r="G127" s="580">
        <f t="shared" si="25"/>
        <v>0</v>
      </c>
      <c r="H127" s="580">
        <f t="shared" si="25"/>
        <v>0</v>
      </c>
      <c r="I127" s="580">
        <f t="shared" si="25"/>
        <v>0</v>
      </c>
      <c r="J127" s="580">
        <f t="shared" si="25"/>
        <v>0</v>
      </c>
      <c r="K127" s="580">
        <f t="shared" si="25"/>
        <v>0</v>
      </c>
      <c r="L127" s="580">
        <f t="shared" si="25"/>
        <v>0</v>
      </c>
      <c r="M127" s="580">
        <f t="shared" si="25"/>
        <v>0</v>
      </c>
      <c r="N127" s="580">
        <f>+N17-N126</f>
        <v>29081.350000000093</v>
      </c>
      <c r="O127" s="345"/>
      <c r="P127" s="529">
        <f>+P17-P126</f>
        <v>449.71069999970496</v>
      </c>
      <c r="Q127" s="529">
        <f>+Q17-Q126</f>
        <v>2199</v>
      </c>
      <c r="R127" s="353"/>
    </row>
    <row r="128" spans="1:18" ht="15" thickBot="1" x14ac:dyDescent="0.35">
      <c r="A128" s="62" t="s">
        <v>728</v>
      </c>
      <c r="B128" s="328">
        <f>B17-B122</f>
        <v>34957.420000000013</v>
      </c>
      <c r="C128" s="87"/>
      <c r="D128" s="87"/>
      <c r="E128" s="87"/>
      <c r="F128" s="87"/>
      <c r="G128" s="87"/>
      <c r="H128" s="87"/>
      <c r="I128" s="87"/>
      <c r="J128" s="87"/>
      <c r="K128" s="87"/>
      <c r="L128" s="87"/>
      <c r="M128" s="87"/>
      <c r="N128" s="87"/>
      <c r="O128" s="344"/>
      <c r="P128" s="529">
        <v>461376</v>
      </c>
      <c r="Q128" s="529">
        <v>317294</v>
      </c>
    </row>
    <row r="129" spans="1:17" ht="15.6" thickTop="1" thickBot="1" x14ac:dyDescent="0.35">
      <c r="A129" s="62" t="s">
        <v>727</v>
      </c>
      <c r="C129" s="58"/>
      <c r="D129" s="58"/>
      <c r="E129" s="58"/>
      <c r="F129" s="58"/>
      <c r="G129" s="58"/>
      <c r="H129" s="58"/>
      <c r="I129" s="58"/>
      <c r="J129" s="58"/>
      <c r="K129" s="58"/>
      <c r="L129" s="58"/>
      <c r="M129" s="58"/>
      <c r="N129" s="58"/>
      <c r="O129" s="344"/>
      <c r="P129" s="579">
        <f>+P128+P127</f>
        <v>461825.7106999997</v>
      </c>
      <c r="Q129" s="579">
        <f>+Q128+Q127</f>
        <v>319493</v>
      </c>
    </row>
    <row r="130" spans="1:17" ht="15" thickTop="1" x14ac:dyDescent="0.3">
      <c r="B130" s="62"/>
      <c r="C130" s="62"/>
      <c r="D130" s="62"/>
      <c r="E130" s="62"/>
      <c r="F130" s="62"/>
      <c r="G130" s="62"/>
      <c r="H130" s="62"/>
      <c r="I130" s="62"/>
      <c r="J130" s="62"/>
      <c r="K130" s="62"/>
      <c r="L130" s="62"/>
      <c r="M130" s="62"/>
      <c r="N130" s="62"/>
      <c r="O130" s="292"/>
      <c r="P130"/>
      <c r="Q130"/>
    </row>
    <row r="131" spans="1:17" x14ac:dyDescent="0.3">
      <c r="A131" s="62"/>
      <c r="B131" s="62"/>
      <c r="C131" s="62"/>
      <c r="D131" s="62"/>
      <c r="E131" s="62"/>
      <c r="F131" s="62"/>
      <c r="G131" s="62"/>
      <c r="H131" s="62"/>
      <c r="I131" s="62"/>
      <c r="J131" s="62"/>
      <c r="K131" s="62"/>
      <c r="L131" s="62"/>
      <c r="M131" s="62"/>
      <c r="N131" s="62"/>
      <c r="O131" s="292"/>
    </row>
    <row r="132" spans="1:17" x14ac:dyDescent="0.3">
      <c r="P132" s="458"/>
    </row>
    <row r="133" spans="1:17" x14ac:dyDescent="0.3">
      <c r="A133" s="51"/>
      <c r="B133" s="62"/>
      <c r="C133" s="62"/>
      <c r="D133" s="62"/>
      <c r="E133" s="62"/>
      <c r="F133" s="62"/>
      <c r="G133" s="62"/>
      <c r="H133" s="62"/>
      <c r="I133" s="62"/>
      <c r="J133" s="62"/>
      <c r="K133" s="62"/>
      <c r="L133" s="62"/>
      <c r="M133" s="62"/>
      <c r="N133" s="62"/>
      <c r="O133" s="292"/>
    </row>
    <row r="134" spans="1:17" x14ac:dyDescent="0.3">
      <c r="P134" s="51"/>
      <c r="Q134" s="51"/>
    </row>
    <row r="135" spans="1:17" x14ac:dyDescent="0.3">
      <c r="B135" s="51"/>
      <c r="C135" s="51"/>
      <c r="D135" s="51"/>
      <c r="E135" s="51"/>
      <c r="F135" s="51"/>
      <c r="G135" s="51"/>
      <c r="H135" s="51"/>
      <c r="I135" s="51"/>
      <c r="J135" s="51"/>
      <c r="K135" s="51"/>
      <c r="L135" s="51"/>
      <c r="M135" s="51"/>
      <c r="N135" s="51"/>
      <c r="O135" s="293"/>
    </row>
    <row r="136" spans="1:17" x14ac:dyDescent="0.3">
      <c r="P136" s="268"/>
      <c r="Q136" s="268"/>
    </row>
    <row r="137" spans="1:17" x14ac:dyDescent="0.3">
      <c r="N137" s="57">
        <f>1975262.83-N122</f>
        <v>1535055.0700000003</v>
      </c>
      <c r="P137" s="268"/>
      <c r="Q137" s="268"/>
    </row>
    <row r="139" spans="1:17" x14ac:dyDescent="0.3">
      <c r="P139" s="268"/>
      <c r="Q139" s="268"/>
    </row>
    <row r="140" spans="1:17" x14ac:dyDescent="0.3">
      <c r="P140" s="268"/>
      <c r="Q140" s="268"/>
    </row>
    <row r="144" spans="1:17" x14ac:dyDescent="0.3">
      <c r="P144" s="262"/>
      <c r="Q144" s="262"/>
    </row>
    <row r="145" spans="16:17" x14ac:dyDescent="0.3">
      <c r="P145" s="262"/>
      <c r="Q145" s="262"/>
    </row>
    <row r="147" spans="16:17" x14ac:dyDescent="0.3">
      <c r="P147" s="122"/>
      <c r="Q147" s="122"/>
    </row>
  </sheetData>
  <pageMargins left="0.7" right="0.7" top="0.5" bottom="0.75" header="0.3" footer="0.3"/>
  <pageSetup orientation="landscape" r:id="rId1"/>
  <headerFooter>
    <oddFooter>&amp;L&amp;D&amp;T&amp;R&amp;P</oddFooter>
  </headerFooter>
  <rowBreaks count="2" manualBreakCount="2">
    <brk id="34" max="16383" man="1"/>
    <brk id="9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8"/>
  <sheetViews>
    <sheetView workbookViewId="0">
      <pane ySplit="4" topLeftCell="A158" activePane="bottomLeft" state="frozen"/>
      <selection pane="bottomLeft" activeCell="H182" sqref="H182"/>
    </sheetView>
  </sheetViews>
  <sheetFormatPr defaultColWidth="9.109375" defaultRowHeight="14.4" x14ac:dyDescent="0.3"/>
  <cols>
    <col min="1" max="1" width="27.6640625" style="57" customWidth="1"/>
    <col min="2" max="2" width="12.109375" style="57" customWidth="1"/>
    <col min="3" max="3" width="11.109375" style="51" customWidth="1"/>
    <col min="4" max="4" width="11.109375" style="51" bestFit="1" customWidth="1"/>
    <col min="5" max="6" width="11.33203125" style="57" bestFit="1" customWidth="1"/>
    <col min="7" max="7" width="12.44140625" style="57" customWidth="1"/>
    <col min="8" max="8" width="19.5546875" style="51" customWidth="1"/>
    <col min="9" max="9" width="0.109375" style="57" hidden="1" customWidth="1"/>
    <col min="10" max="10" width="18.5546875" style="116" customWidth="1"/>
    <col min="11" max="12" width="9.109375" style="57"/>
    <col min="13" max="13" width="27.6640625" style="57" customWidth="1"/>
    <col min="14" max="14" width="11.109375" style="57" customWidth="1"/>
    <col min="15" max="15" width="11.109375" style="51" customWidth="1"/>
    <col min="16" max="16" width="11.109375" style="51" bestFit="1" customWidth="1"/>
    <col min="17" max="17" width="10.6640625" style="57" customWidth="1"/>
    <col min="18" max="18" width="10.5546875" style="57" bestFit="1" customWidth="1"/>
    <col min="19" max="19" width="11.44140625" style="57" customWidth="1"/>
    <col min="20" max="20" width="21.5546875" style="51" customWidth="1"/>
    <col min="21" max="21" width="0.109375" style="57" hidden="1" customWidth="1"/>
    <col min="22" max="22" width="9.109375" style="51"/>
    <col min="23" max="16384" width="9.109375" style="57"/>
  </cols>
  <sheetData>
    <row r="1" spans="1:22" ht="19.5" customHeight="1" thickBot="1" x14ac:dyDescent="0.35">
      <c r="A1" s="159" t="s">
        <v>677</v>
      </c>
      <c r="B1" s="493">
        <v>484</v>
      </c>
      <c r="C1" s="493">
        <v>484</v>
      </c>
      <c r="D1" s="493">
        <v>484</v>
      </c>
      <c r="E1" s="493" t="s">
        <v>15</v>
      </c>
      <c r="F1" s="493"/>
      <c r="G1" s="494"/>
      <c r="H1" s="495" t="s">
        <v>678</v>
      </c>
      <c r="I1" s="258" t="s">
        <v>107</v>
      </c>
      <c r="M1" s="306"/>
      <c r="N1" s="510">
        <v>400</v>
      </c>
      <c r="O1" s="510">
        <v>400</v>
      </c>
      <c r="P1" s="510">
        <v>400</v>
      </c>
      <c r="Q1" s="510"/>
      <c r="R1" s="510"/>
      <c r="S1" s="511"/>
      <c r="T1" s="495" t="s">
        <v>678</v>
      </c>
    </row>
    <row r="2" spans="1:22" ht="19.5" customHeight="1" thickBot="1" x14ac:dyDescent="0.35">
      <c r="A2" s="496" t="s">
        <v>748</v>
      </c>
      <c r="B2" s="497" t="s">
        <v>108</v>
      </c>
      <c r="C2" s="497" t="s">
        <v>109</v>
      </c>
      <c r="D2" s="497" t="s">
        <v>110</v>
      </c>
      <c r="E2" s="497" t="s">
        <v>183</v>
      </c>
      <c r="F2" s="497" t="s">
        <v>305</v>
      </c>
      <c r="G2" s="497" t="s">
        <v>107</v>
      </c>
      <c r="H2" s="51">
        <v>250</v>
      </c>
      <c r="I2" s="259"/>
      <c r="M2" s="512" t="s">
        <v>697</v>
      </c>
      <c r="N2" s="410" t="s">
        <v>108</v>
      </c>
      <c r="O2" s="410" t="s">
        <v>109</v>
      </c>
      <c r="P2" s="410" t="s">
        <v>110</v>
      </c>
      <c r="Q2" s="410" t="s">
        <v>183</v>
      </c>
      <c r="R2" s="410" t="s">
        <v>305</v>
      </c>
      <c r="S2" s="410" t="s">
        <v>107</v>
      </c>
      <c r="T2" s="51">
        <v>250</v>
      </c>
      <c r="U2" s="258"/>
      <c r="V2" s="51" t="s">
        <v>696</v>
      </c>
    </row>
    <row r="3" spans="1:22" ht="19.5" customHeight="1" x14ac:dyDescent="0.3">
      <c r="A3" s="498" t="s">
        <v>18</v>
      </c>
      <c r="B3" s="499">
        <v>8937</v>
      </c>
      <c r="C3" s="499">
        <v>8937</v>
      </c>
      <c r="D3" s="499">
        <v>8300</v>
      </c>
      <c r="E3" s="499">
        <v>8300</v>
      </c>
      <c r="F3" s="499">
        <v>8126</v>
      </c>
      <c r="G3" s="499"/>
      <c r="H3" s="51" t="s">
        <v>15</v>
      </c>
      <c r="I3" s="259"/>
      <c r="M3" s="309" t="s">
        <v>18</v>
      </c>
      <c r="N3" s="311">
        <f>'[4]18-19'!N3*1.03</f>
        <v>0</v>
      </c>
      <c r="O3" s="311">
        <f>'[4]18-19'!O3*1.03</f>
        <v>0</v>
      </c>
      <c r="P3" s="311">
        <f>'[4]18-19'!P3*1.03</f>
        <v>0</v>
      </c>
      <c r="Q3" s="311">
        <f>'[4]18-19'!Q3*1.03</f>
        <v>0</v>
      </c>
      <c r="R3" s="311">
        <f>'[4]18-19'!R3*1.03</f>
        <v>0</v>
      </c>
      <c r="S3" s="311"/>
      <c r="T3" s="51" t="s">
        <v>695</v>
      </c>
      <c r="U3" s="259"/>
    </row>
    <row r="4" spans="1:22" x14ac:dyDescent="0.3">
      <c r="A4" s="498" t="s">
        <v>458</v>
      </c>
      <c r="B4" s="500">
        <v>430</v>
      </c>
      <c r="C4" s="500">
        <v>455</v>
      </c>
      <c r="D4" s="548">
        <v>532.58000000000004</v>
      </c>
      <c r="E4" s="500">
        <v>322</v>
      </c>
      <c r="F4" s="500">
        <v>316</v>
      </c>
      <c r="G4" s="499">
        <f>SUM(B4:F4)</f>
        <v>2055.58</v>
      </c>
      <c r="H4" s="501">
        <v>0.20399999999999999</v>
      </c>
      <c r="M4" s="309" t="s">
        <v>458</v>
      </c>
      <c r="N4" s="311">
        <v>425</v>
      </c>
      <c r="O4" s="311">
        <v>445</v>
      </c>
      <c r="P4" s="311">
        <v>496</v>
      </c>
      <c r="Q4" s="311">
        <v>310</v>
      </c>
      <c r="R4" s="311">
        <v>325</v>
      </c>
      <c r="S4" s="311">
        <f>SUM(N4:R4)</f>
        <v>2001</v>
      </c>
      <c r="T4" s="501">
        <v>0.20399999999999999</v>
      </c>
      <c r="U4" s="259"/>
      <c r="V4" s="51" t="s">
        <v>232</v>
      </c>
    </row>
    <row r="5" spans="1:22" ht="15" thickBot="1" x14ac:dyDescent="0.35">
      <c r="A5" s="581" t="s">
        <v>459</v>
      </c>
      <c r="B5" s="582"/>
      <c r="C5" s="582"/>
      <c r="D5" s="582"/>
      <c r="E5" s="582"/>
      <c r="F5" s="582"/>
      <c r="G5" s="183"/>
      <c r="H5" s="501"/>
      <c r="M5" s="369" t="s">
        <v>459</v>
      </c>
      <c r="N5" s="58"/>
      <c r="O5" s="58"/>
      <c r="P5" s="58"/>
      <c r="Q5" s="58"/>
      <c r="R5" s="58"/>
      <c r="S5" s="58"/>
    </row>
    <row r="6" spans="1:22" x14ac:dyDescent="0.3">
      <c r="A6" s="78" t="s">
        <v>18</v>
      </c>
      <c r="B6" s="79">
        <f>B3*B4</f>
        <v>3842910</v>
      </c>
      <c r="C6" s="79">
        <f>C3*C4</f>
        <v>4066335</v>
      </c>
      <c r="D6" s="79">
        <f>D3*D4</f>
        <v>4420414</v>
      </c>
      <c r="E6" s="79">
        <f>E3*E4</f>
        <v>2672600</v>
      </c>
      <c r="F6" s="79">
        <f>F3*F4</f>
        <v>2567816</v>
      </c>
      <c r="G6" s="51">
        <f>SUM(B6:F6)</f>
        <v>17570075</v>
      </c>
      <c r="I6" s="57">
        <f>SUM(B6:F6)</f>
        <v>17570075</v>
      </c>
      <c r="M6" s="78" t="s">
        <v>18</v>
      </c>
      <c r="N6" s="79">
        <v>3604630</v>
      </c>
      <c r="O6" s="79">
        <v>3774260</v>
      </c>
      <c r="P6" s="79">
        <v>4047294</v>
      </c>
      <c r="Q6" s="79">
        <v>2567172</v>
      </c>
      <c r="R6" s="79">
        <v>2602259</v>
      </c>
      <c r="S6" s="51">
        <f t="shared" ref="S6:S27" si="0">SUM(N6:R6)</f>
        <v>16595615</v>
      </c>
    </row>
    <row r="7" spans="1:22" x14ac:dyDescent="0.3">
      <c r="A7" s="78" t="s">
        <v>22</v>
      </c>
      <c r="B7" s="77">
        <f>B4*H2</f>
        <v>107500</v>
      </c>
      <c r="C7" s="77">
        <f>C4*H2</f>
        <v>113750</v>
      </c>
      <c r="D7" s="77">
        <f>D4*H2</f>
        <v>133145</v>
      </c>
      <c r="E7" s="77">
        <f>E4*H2</f>
        <v>80500</v>
      </c>
      <c r="F7" s="77">
        <f>F4*H2</f>
        <v>79000</v>
      </c>
      <c r="G7" s="51">
        <f t="shared" ref="G7:G30" si="1">SUM(B7:F7)</f>
        <v>513895</v>
      </c>
      <c r="H7"/>
      <c r="I7" s="57">
        <f>SUM(B7:F7)</f>
        <v>513895</v>
      </c>
      <c r="M7" s="78" t="s">
        <v>22</v>
      </c>
      <c r="N7" s="77">
        <f>N4*T2</f>
        <v>106250</v>
      </c>
      <c r="O7" s="77">
        <f>O4*T2</f>
        <v>111250</v>
      </c>
      <c r="P7" s="77">
        <f>P4*T2</f>
        <v>124000</v>
      </c>
      <c r="Q7" s="77">
        <f>Q4*T2</f>
        <v>77500</v>
      </c>
      <c r="R7" s="77">
        <f>R4*T2</f>
        <v>81250</v>
      </c>
      <c r="S7" s="57">
        <f t="shared" si="0"/>
        <v>500250</v>
      </c>
    </row>
    <row r="8" spans="1:22" x14ac:dyDescent="0.3">
      <c r="A8" s="78" t="s">
        <v>698</v>
      </c>
      <c r="B8" s="77"/>
      <c r="C8" s="77"/>
      <c r="D8" s="77">
        <v>32000</v>
      </c>
      <c r="E8" s="77">
        <v>18700</v>
      </c>
      <c r="F8" s="77"/>
      <c r="G8" s="51">
        <f>SUM(B8:F8)</f>
        <v>50700</v>
      </c>
      <c r="I8" s="57">
        <f>SUM(B8:F8)</f>
        <v>50700</v>
      </c>
      <c r="M8" s="78" t="s">
        <v>587</v>
      </c>
      <c r="N8" s="77">
        <f>10000+7673</f>
        <v>17673</v>
      </c>
      <c r="O8" s="77">
        <v>14000</v>
      </c>
      <c r="P8" s="77">
        <v>18000</v>
      </c>
      <c r="Q8" s="77">
        <v>10000</v>
      </c>
      <c r="R8" s="77">
        <v>10000</v>
      </c>
      <c r="S8" s="57">
        <f t="shared" si="0"/>
        <v>69673</v>
      </c>
    </row>
    <row r="9" spans="1:22" s="78" customFormat="1" ht="12.6" customHeight="1" x14ac:dyDescent="0.3">
      <c r="A9" s="78" t="s">
        <v>73</v>
      </c>
      <c r="B9" s="77">
        <v>10000</v>
      </c>
      <c r="C9" s="77">
        <v>10000</v>
      </c>
      <c r="D9" s="77">
        <v>15000</v>
      </c>
      <c r="E9" s="77">
        <v>2500</v>
      </c>
      <c r="F9" s="77">
        <v>2500</v>
      </c>
      <c r="G9" s="51">
        <f t="shared" si="1"/>
        <v>40000</v>
      </c>
      <c r="I9" s="57"/>
      <c r="J9" s="481"/>
      <c r="M9" s="78" t="s">
        <v>589</v>
      </c>
      <c r="N9" s="77"/>
      <c r="O9" s="77"/>
      <c r="P9" s="77">
        <v>17000</v>
      </c>
      <c r="Q9" s="77">
        <v>7000</v>
      </c>
      <c r="R9" s="77">
        <v>0</v>
      </c>
      <c r="S9" s="57">
        <f t="shared" si="0"/>
        <v>24000</v>
      </c>
      <c r="U9" s="57"/>
    </row>
    <row r="10" spans="1:22" s="78" customFormat="1" ht="12.6" customHeight="1" x14ac:dyDescent="0.3">
      <c r="A10" s="78" t="s">
        <v>589</v>
      </c>
      <c r="B10" s="77"/>
      <c r="C10" s="77"/>
      <c r="D10" s="77">
        <v>15000</v>
      </c>
      <c r="E10" s="77">
        <v>6000</v>
      </c>
      <c r="F10" s="77">
        <v>0</v>
      </c>
      <c r="G10" s="51">
        <f t="shared" si="1"/>
        <v>21000</v>
      </c>
      <c r="I10" s="57"/>
      <c r="J10" s="481"/>
      <c r="M10" s="78" t="s">
        <v>212</v>
      </c>
      <c r="N10" s="77">
        <f>5337+3710</f>
        <v>9047</v>
      </c>
      <c r="O10" s="77">
        <f>5056+3619</f>
        <v>8675</v>
      </c>
      <c r="P10" s="77">
        <v>45000</v>
      </c>
      <c r="Q10" s="77">
        <v>15000</v>
      </c>
      <c r="R10" s="77"/>
      <c r="S10" s="57">
        <f t="shared" si="0"/>
        <v>77722</v>
      </c>
      <c r="U10" s="57"/>
    </row>
    <row r="11" spans="1:22" s="78" customFormat="1" ht="12.6" customHeight="1" x14ac:dyDescent="0.3">
      <c r="A11" s="78" t="s">
        <v>212</v>
      </c>
      <c r="B11" s="77">
        <v>1500</v>
      </c>
      <c r="C11" s="77">
        <v>9000</v>
      </c>
      <c r="D11" s="77">
        <v>44000</v>
      </c>
      <c r="E11" s="77">
        <v>15000</v>
      </c>
      <c r="F11" s="77"/>
      <c r="G11" s="51">
        <f t="shared" si="1"/>
        <v>69500</v>
      </c>
      <c r="I11" s="57"/>
      <c r="J11" s="481"/>
      <c r="M11" s="78" t="s">
        <v>490</v>
      </c>
      <c r="N11" s="77">
        <v>10000</v>
      </c>
      <c r="O11" s="77">
        <f>10000+2110</f>
        <v>12110</v>
      </c>
      <c r="P11" s="77">
        <v>20000</v>
      </c>
      <c r="Q11" s="77">
        <f>42729+650+2630+3307</f>
        <v>49316</v>
      </c>
      <c r="R11" s="77"/>
      <c r="S11" s="57">
        <f t="shared" si="0"/>
        <v>91426</v>
      </c>
      <c r="U11" s="57"/>
    </row>
    <row r="12" spans="1:22" x14ac:dyDescent="0.3">
      <c r="A12" s="78" t="s">
        <v>490</v>
      </c>
      <c r="B12" s="77">
        <v>10500</v>
      </c>
      <c r="C12" s="77">
        <f>3300+14000</f>
        <v>17300</v>
      </c>
      <c r="D12" s="77">
        <v>16000</v>
      </c>
      <c r="E12" s="77">
        <v>43000</v>
      </c>
      <c r="F12" s="77"/>
      <c r="G12" s="51">
        <f t="shared" si="1"/>
        <v>86800</v>
      </c>
      <c r="M12" s="78" t="s">
        <v>194</v>
      </c>
      <c r="N12" s="77"/>
      <c r="O12" s="77"/>
      <c r="P12" s="77"/>
      <c r="Q12" s="77">
        <v>28000</v>
      </c>
      <c r="R12" s="77"/>
      <c r="S12" s="57">
        <f t="shared" si="0"/>
        <v>28000</v>
      </c>
    </row>
    <row r="13" spans="1:22" x14ac:dyDescent="0.3">
      <c r="A13" s="78" t="s">
        <v>194</v>
      </c>
      <c r="B13" s="77"/>
      <c r="C13" s="77"/>
      <c r="D13" s="77"/>
      <c r="E13" s="77">
        <v>25000</v>
      </c>
      <c r="F13" s="77"/>
      <c r="G13" s="51">
        <f t="shared" si="1"/>
        <v>25000</v>
      </c>
      <c r="M13" s="78" t="s">
        <v>193</v>
      </c>
      <c r="N13" s="77"/>
      <c r="O13" s="77"/>
      <c r="P13" s="77"/>
      <c r="Q13" s="77">
        <v>15000</v>
      </c>
      <c r="R13" s="77"/>
      <c r="S13" s="57">
        <f t="shared" si="0"/>
        <v>15000</v>
      </c>
    </row>
    <row r="14" spans="1:22" x14ac:dyDescent="0.3">
      <c r="A14" s="78" t="s">
        <v>193</v>
      </c>
      <c r="B14" s="77"/>
      <c r="C14" s="77"/>
      <c r="D14" s="77"/>
      <c r="E14" s="77">
        <v>15000</v>
      </c>
      <c r="F14" s="77"/>
      <c r="G14" s="51">
        <f t="shared" si="1"/>
        <v>15000</v>
      </c>
      <c r="M14" s="78" t="s">
        <v>204</v>
      </c>
      <c r="N14" s="77"/>
      <c r="O14" s="77"/>
      <c r="P14" s="77"/>
      <c r="Q14" s="77">
        <v>1000</v>
      </c>
      <c r="R14" s="77"/>
      <c r="S14" s="57">
        <f t="shared" si="0"/>
        <v>1000</v>
      </c>
    </row>
    <row r="15" spans="1:22" s="78" customFormat="1" ht="12.6" customHeight="1" x14ac:dyDescent="0.3">
      <c r="A15" s="78" t="s">
        <v>204</v>
      </c>
      <c r="B15" s="77"/>
      <c r="C15" s="77"/>
      <c r="D15" s="77"/>
      <c r="E15" s="77">
        <v>1000</v>
      </c>
      <c r="F15" s="77"/>
      <c r="G15" s="51">
        <f t="shared" si="1"/>
        <v>1000</v>
      </c>
      <c r="I15" s="57">
        <f>SUM(B15:F15)</f>
        <v>1000</v>
      </c>
      <c r="J15" s="481"/>
      <c r="M15" s="78" t="s">
        <v>75</v>
      </c>
      <c r="N15" s="77">
        <v>0</v>
      </c>
      <c r="O15" s="77">
        <v>35000</v>
      </c>
      <c r="P15" s="77">
        <v>12000</v>
      </c>
      <c r="Q15" s="77">
        <v>0</v>
      </c>
      <c r="R15" s="77">
        <v>0</v>
      </c>
      <c r="S15" s="57">
        <f t="shared" si="0"/>
        <v>47000</v>
      </c>
      <c r="U15" s="57"/>
    </row>
    <row r="16" spans="1:22" s="78" customFormat="1" ht="12.6" customHeight="1" x14ac:dyDescent="0.3">
      <c r="A16" s="78" t="s">
        <v>699</v>
      </c>
      <c r="B16" s="77">
        <v>0</v>
      </c>
      <c r="C16" s="77">
        <v>35000</v>
      </c>
      <c r="D16" s="77">
        <v>10000</v>
      </c>
      <c r="E16" s="77">
        <v>5000</v>
      </c>
      <c r="F16" s="77">
        <v>0</v>
      </c>
      <c r="G16" s="51">
        <f t="shared" si="1"/>
        <v>50000</v>
      </c>
      <c r="I16" s="57"/>
      <c r="J16" s="481"/>
      <c r="M16" s="78" t="s">
        <v>534</v>
      </c>
      <c r="N16" s="77">
        <v>48400</v>
      </c>
      <c r="O16" s="77">
        <v>20000</v>
      </c>
      <c r="P16" s="77"/>
      <c r="Q16" s="77"/>
      <c r="R16" s="77"/>
      <c r="S16" s="57">
        <f t="shared" si="0"/>
        <v>68400</v>
      </c>
      <c r="U16" s="57"/>
    </row>
    <row r="17" spans="1:21" s="78" customFormat="1" ht="12.6" customHeight="1" x14ac:dyDescent="0.3">
      <c r="A17" s="78" t="s">
        <v>534</v>
      </c>
      <c r="B17" s="77">
        <v>48400</v>
      </c>
      <c r="C17" s="77">
        <v>20000</v>
      </c>
      <c r="D17" s="77"/>
      <c r="E17" s="77"/>
      <c r="F17" s="77"/>
      <c r="G17" s="51">
        <f t="shared" si="1"/>
        <v>68400</v>
      </c>
      <c r="I17" s="57"/>
      <c r="J17" s="481"/>
      <c r="M17" s="78" t="s">
        <v>103</v>
      </c>
      <c r="N17" s="77">
        <v>8365</v>
      </c>
      <c r="O17" s="77">
        <v>5855</v>
      </c>
      <c r="P17" s="77">
        <v>0</v>
      </c>
      <c r="Q17" s="77"/>
      <c r="R17" s="77"/>
      <c r="S17" s="57">
        <f t="shared" si="0"/>
        <v>14220</v>
      </c>
      <c r="U17" s="57"/>
    </row>
    <row r="18" spans="1:21" s="78" customFormat="1" ht="12.6" customHeight="1" x14ac:dyDescent="0.3">
      <c r="A18" s="78" t="s">
        <v>103</v>
      </c>
      <c r="B18" s="77">
        <v>7500</v>
      </c>
      <c r="C18" s="77">
        <v>7500</v>
      </c>
      <c r="D18" s="77">
        <v>0</v>
      </c>
      <c r="E18" s="77"/>
      <c r="F18" s="77"/>
      <c r="G18" s="51">
        <f t="shared" si="1"/>
        <v>15000</v>
      </c>
      <c r="I18" s="57">
        <f>SUM(B18:F18)</f>
        <v>15000</v>
      </c>
      <c r="J18" s="481"/>
      <c r="M18" s="78" t="s">
        <v>17</v>
      </c>
      <c r="N18" s="77">
        <f>23500+1000+500+1500+15000+2000</f>
        <v>43500</v>
      </c>
      <c r="O18" s="77">
        <v>43000</v>
      </c>
      <c r="P18" s="77">
        <v>24000</v>
      </c>
      <c r="Q18" s="77">
        <f>15000+13500+6000</f>
        <v>34500</v>
      </c>
      <c r="R18" s="77">
        <f>53620-R8</f>
        <v>43620</v>
      </c>
      <c r="S18" s="57">
        <f t="shared" si="0"/>
        <v>188620</v>
      </c>
      <c r="U18" s="57"/>
    </row>
    <row r="19" spans="1:21" s="78" customFormat="1" ht="12.6" customHeight="1" x14ac:dyDescent="0.3">
      <c r="A19" s="78" t="s">
        <v>17</v>
      </c>
      <c r="B19" s="77">
        <v>45000</v>
      </c>
      <c r="C19" s="77">
        <v>45000</v>
      </c>
      <c r="D19" s="77">
        <v>24000</v>
      </c>
      <c r="E19" s="77">
        <v>11000</v>
      </c>
      <c r="F19" s="77">
        <f>53620-F9</f>
        <v>51120</v>
      </c>
      <c r="G19" s="51">
        <f t="shared" si="1"/>
        <v>176120</v>
      </c>
      <c r="I19" s="57"/>
      <c r="J19" s="481"/>
      <c r="M19" s="78" t="s">
        <v>146</v>
      </c>
      <c r="N19" s="77">
        <v>78250</v>
      </c>
      <c r="O19" s="77">
        <v>27500</v>
      </c>
      <c r="P19" s="77"/>
      <c r="Q19" s="77"/>
      <c r="R19" s="77"/>
      <c r="S19" s="57">
        <f t="shared" si="0"/>
        <v>105750</v>
      </c>
      <c r="U19" s="57"/>
    </row>
    <row r="20" spans="1:21" s="78" customFormat="1" ht="12.6" customHeight="1" x14ac:dyDescent="0.3">
      <c r="A20" s="78" t="s">
        <v>146</v>
      </c>
      <c r="B20" s="77">
        <v>78250</v>
      </c>
      <c r="C20" s="77">
        <v>27500</v>
      </c>
      <c r="D20" s="77"/>
      <c r="E20" s="77"/>
      <c r="F20" s="77"/>
      <c r="G20" s="51">
        <f t="shared" si="1"/>
        <v>105750</v>
      </c>
      <c r="I20" s="57"/>
      <c r="J20" s="481"/>
      <c r="M20" s="78" t="s">
        <v>25</v>
      </c>
      <c r="N20" s="77">
        <f>4500+1147+2221</f>
        <v>7868</v>
      </c>
      <c r="O20" s="77">
        <f>16460+2386+344</f>
        <v>19190</v>
      </c>
      <c r="P20" s="77">
        <v>11500</v>
      </c>
      <c r="Q20" s="77">
        <f>8600+2583</f>
        <v>11183</v>
      </c>
      <c r="R20" s="77">
        <v>8000</v>
      </c>
      <c r="S20" s="57">
        <f t="shared" si="0"/>
        <v>57741</v>
      </c>
      <c r="U20" s="57"/>
    </row>
    <row r="21" spans="1:21" s="78" customFormat="1" ht="12.6" customHeight="1" x14ac:dyDescent="0.3">
      <c r="A21" s="78" t="s">
        <v>700</v>
      </c>
      <c r="B21" s="77">
        <f>G21*0.28</f>
        <v>26600.000000000004</v>
      </c>
      <c r="C21" s="77">
        <f>G21*0.28</f>
        <v>26600.000000000004</v>
      </c>
      <c r="D21" s="77">
        <f>G21*0.28</f>
        <v>26600.000000000004</v>
      </c>
      <c r="E21" s="77">
        <f>G21*0.11</f>
        <v>10450</v>
      </c>
      <c r="F21" s="77">
        <f>G21*0.05</f>
        <v>4750</v>
      </c>
      <c r="G21" s="51">
        <v>95000</v>
      </c>
      <c r="I21" s="57"/>
      <c r="J21" s="481"/>
      <c r="M21" s="78" t="s">
        <v>63</v>
      </c>
      <c r="N21" s="77">
        <v>20000</v>
      </c>
      <c r="O21" s="77">
        <v>20000</v>
      </c>
      <c r="P21" s="77">
        <v>20000</v>
      </c>
      <c r="Q21" s="77">
        <v>10000</v>
      </c>
      <c r="R21" s="77"/>
      <c r="S21" s="57">
        <f t="shared" si="0"/>
        <v>70000</v>
      </c>
      <c r="U21" s="57"/>
    </row>
    <row r="22" spans="1:21" s="78" customFormat="1" ht="12.6" customHeight="1" x14ac:dyDescent="0.3">
      <c r="A22" s="78" t="s">
        <v>770</v>
      </c>
      <c r="B22" s="77">
        <f>8000+12000</f>
        <v>20000</v>
      </c>
      <c r="C22" s="77">
        <f>8000+12000</f>
        <v>20000</v>
      </c>
      <c r="D22" s="77">
        <f>8000+12000</f>
        <v>20000</v>
      </c>
      <c r="E22" s="77">
        <f>8000+12000</f>
        <v>20000</v>
      </c>
      <c r="F22" s="77">
        <f>8000+12000</f>
        <v>20000</v>
      </c>
      <c r="G22" s="51">
        <f t="shared" si="1"/>
        <v>100000</v>
      </c>
      <c r="I22" s="57"/>
      <c r="J22" s="481"/>
      <c r="M22" s="78" t="s">
        <v>433</v>
      </c>
      <c r="N22" s="77">
        <f>N4*N1</f>
        <v>170000</v>
      </c>
      <c r="O22" s="77">
        <f>O4*O1</f>
        <v>178000</v>
      </c>
      <c r="P22" s="77">
        <f>P4*P1</f>
        <v>198400</v>
      </c>
      <c r="Q22" s="77">
        <f>297.89*Q4</f>
        <v>92345.9</v>
      </c>
      <c r="R22" s="77">
        <f>20362+16946</f>
        <v>37308</v>
      </c>
      <c r="S22" s="57">
        <f t="shared" si="0"/>
        <v>676053.9</v>
      </c>
      <c r="T22" s="78" t="s">
        <v>694</v>
      </c>
      <c r="U22" s="57"/>
    </row>
    <row r="23" spans="1:21" s="78" customFormat="1" ht="12.6" customHeight="1" x14ac:dyDescent="0.3">
      <c r="A23" s="78" t="s">
        <v>63</v>
      </c>
      <c r="B23" s="77">
        <v>25000</v>
      </c>
      <c r="C23" s="77">
        <v>25000</v>
      </c>
      <c r="D23" s="77">
        <v>25000</v>
      </c>
      <c r="E23" s="77">
        <v>12000</v>
      </c>
      <c r="F23" s="77"/>
      <c r="G23" s="51">
        <f t="shared" si="1"/>
        <v>87000</v>
      </c>
      <c r="I23" s="57"/>
      <c r="J23" s="481"/>
      <c r="M23" s="78" t="s">
        <v>460</v>
      </c>
      <c r="N23" s="77"/>
      <c r="O23" s="77"/>
      <c r="P23" s="77"/>
      <c r="Q23" s="77">
        <v>0</v>
      </c>
      <c r="R23" s="77">
        <v>30000</v>
      </c>
      <c r="S23" s="57">
        <f t="shared" si="0"/>
        <v>30000</v>
      </c>
      <c r="U23" s="57"/>
    </row>
    <row r="24" spans="1:21" s="78" customFormat="1" ht="12.6" customHeight="1" x14ac:dyDescent="0.3">
      <c r="A24" s="78" t="s">
        <v>433</v>
      </c>
      <c r="B24" s="77">
        <f>B4*B1</f>
        <v>208120</v>
      </c>
      <c r="C24" s="77">
        <f>C4*C1</f>
        <v>220220</v>
      </c>
      <c r="D24" s="77">
        <f>D4*D1</f>
        <v>257768.72000000003</v>
      </c>
      <c r="E24" s="77">
        <v>100861</v>
      </c>
      <c r="F24" s="77">
        <f>5029+15936+20000+7007</f>
        <v>47972</v>
      </c>
      <c r="G24" s="51">
        <f t="shared" si="1"/>
        <v>834941.72</v>
      </c>
      <c r="I24" s="57"/>
      <c r="J24" s="481"/>
      <c r="M24" s="78" t="s">
        <v>68</v>
      </c>
      <c r="N24" s="77"/>
      <c r="O24" s="77"/>
      <c r="P24" s="77"/>
      <c r="Q24" s="77"/>
      <c r="R24" s="77">
        <v>30000</v>
      </c>
      <c r="S24" s="57">
        <f t="shared" si="0"/>
        <v>30000</v>
      </c>
      <c r="U24" s="57"/>
    </row>
    <row r="25" spans="1:21" s="78" customFormat="1" ht="12.6" customHeight="1" x14ac:dyDescent="0.3">
      <c r="A25" s="78" t="s">
        <v>460</v>
      </c>
      <c r="B25" s="77"/>
      <c r="C25" s="77"/>
      <c r="D25" s="77"/>
      <c r="E25" s="77">
        <v>0</v>
      </c>
      <c r="F25" s="77">
        <v>30000</v>
      </c>
      <c r="G25" s="51">
        <f t="shared" si="1"/>
        <v>30000</v>
      </c>
      <c r="I25" s="57"/>
      <c r="J25" s="481"/>
      <c r="M25" s="78" t="s">
        <v>623</v>
      </c>
      <c r="N25" s="77"/>
      <c r="O25" s="77"/>
      <c r="P25" s="77"/>
      <c r="Q25" s="77"/>
      <c r="R25" s="77">
        <v>0</v>
      </c>
      <c r="S25" s="57">
        <f t="shared" si="0"/>
        <v>0</v>
      </c>
      <c r="U25" s="57"/>
    </row>
    <row r="26" spans="1:21" s="78" customFormat="1" ht="12.6" customHeight="1" x14ac:dyDescent="0.3">
      <c r="A26" s="78" t="s">
        <v>68</v>
      </c>
      <c r="B26" s="77"/>
      <c r="C26" s="77"/>
      <c r="D26" s="77"/>
      <c r="E26" s="77"/>
      <c r="F26" s="77">
        <v>30000</v>
      </c>
      <c r="G26" s="51">
        <f t="shared" si="1"/>
        <v>30000</v>
      </c>
      <c r="I26" s="57"/>
      <c r="J26" s="481"/>
      <c r="M26" s="78" t="s">
        <v>461</v>
      </c>
      <c r="N26" s="77" t="s">
        <v>15</v>
      </c>
      <c r="O26" s="77"/>
      <c r="P26" s="77"/>
      <c r="Q26" s="77">
        <v>25000</v>
      </c>
      <c r="R26" s="77" t="s">
        <v>15</v>
      </c>
      <c r="S26" s="57">
        <f t="shared" si="0"/>
        <v>25000</v>
      </c>
      <c r="U26" s="57"/>
    </row>
    <row r="27" spans="1:21" s="51" customFormat="1" ht="15" customHeight="1" x14ac:dyDescent="0.3">
      <c r="A27" s="78" t="s">
        <v>701</v>
      </c>
      <c r="B27" s="77">
        <v>8378</v>
      </c>
      <c r="C27" s="77">
        <v>8378</v>
      </c>
      <c r="D27" s="77">
        <v>8378</v>
      </c>
      <c r="E27" s="77">
        <v>5298</v>
      </c>
      <c r="F27" s="77">
        <v>48864</v>
      </c>
      <c r="G27" s="51">
        <f t="shared" si="1"/>
        <v>79296</v>
      </c>
      <c r="H27" s="78"/>
      <c r="I27" s="51">
        <f>SUM(I6:I18)</f>
        <v>18150670</v>
      </c>
      <c r="J27" s="116"/>
      <c r="M27" s="78" t="s">
        <v>625</v>
      </c>
      <c r="N27" s="81">
        <v>10000</v>
      </c>
      <c r="O27" s="81"/>
      <c r="P27" s="81"/>
      <c r="Q27" s="81"/>
      <c r="R27" s="81">
        <v>5500</v>
      </c>
      <c r="S27" s="209">
        <f t="shared" si="0"/>
        <v>15500</v>
      </c>
      <c r="T27" s="78" t="s">
        <v>693</v>
      </c>
    </row>
    <row r="28" spans="1:21" s="549" customFormat="1" ht="12.75" customHeight="1" thickBot="1" x14ac:dyDescent="0.35">
      <c r="A28" s="549" t="s">
        <v>461</v>
      </c>
      <c r="B28" s="553" t="s">
        <v>15</v>
      </c>
      <c r="C28" s="553"/>
      <c r="D28" s="553"/>
      <c r="E28" s="553">
        <v>35000</v>
      </c>
      <c r="F28" s="553" t="s">
        <v>15</v>
      </c>
      <c r="G28" s="549">
        <f t="shared" si="1"/>
        <v>35000</v>
      </c>
      <c r="I28" s="368"/>
      <c r="J28" s="551"/>
      <c r="M28" s="554" t="s">
        <v>493</v>
      </c>
      <c r="N28" s="555">
        <f t="shared" ref="N28:S28" si="2">SUM(N6:N27)</f>
        <v>4133983</v>
      </c>
      <c r="O28" s="555">
        <f t="shared" si="2"/>
        <v>4268840</v>
      </c>
      <c r="P28" s="555">
        <f t="shared" si="2"/>
        <v>4537194</v>
      </c>
      <c r="Q28" s="555">
        <f t="shared" si="2"/>
        <v>2943016.9</v>
      </c>
      <c r="R28" s="555">
        <f t="shared" si="2"/>
        <v>2847937</v>
      </c>
      <c r="S28" s="555">
        <f t="shared" si="2"/>
        <v>18730970.899999999</v>
      </c>
      <c r="U28" s="368"/>
    </row>
    <row r="29" spans="1:21" s="51" customFormat="1" ht="13.95" customHeight="1" thickTop="1" x14ac:dyDescent="0.3">
      <c r="A29" s="78" t="s">
        <v>702</v>
      </c>
      <c r="B29" s="77">
        <v>37500</v>
      </c>
      <c r="C29" s="77">
        <v>79520</v>
      </c>
      <c r="D29" s="77"/>
      <c r="E29" s="77"/>
      <c r="F29" s="77">
        <v>10000</v>
      </c>
      <c r="G29" s="51">
        <f t="shared" si="1"/>
        <v>127020</v>
      </c>
      <c r="I29" s="368"/>
      <c r="J29" s="116"/>
      <c r="N29" s="368"/>
      <c r="O29" s="368"/>
      <c r="P29" s="368"/>
      <c r="Q29" s="368"/>
      <c r="R29" s="368"/>
      <c r="S29" s="368"/>
      <c r="U29" s="368"/>
    </row>
    <row r="30" spans="1:21" s="549" customFormat="1" ht="15" customHeight="1" thickBot="1" x14ac:dyDescent="0.35">
      <c r="A30" s="549" t="s">
        <v>625</v>
      </c>
      <c r="B30" s="550">
        <v>5100</v>
      </c>
      <c r="C30" s="550"/>
      <c r="D30" s="550"/>
      <c r="E30" s="550"/>
      <c r="F30" s="550">
        <v>5500</v>
      </c>
      <c r="G30" s="549">
        <f t="shared" si="1"/>
        <v>10600</v>
      </c>
      <c r="J30" s="551"/>
      <c r="M30" s="552" t="s">
        <v>463</v>
      </c>
      <c r="N30" s="368"/>
      <c r="O30" s="368"/>
      <c r="P30" s="368"/>
      <c r="Q30" s="368"/>
      <c r="R30" s="368"/>
      <c r="S30" s="368" t="s">
        <v>15</v>
      </c>
    </row>
    <row r="31" spans="1:21" s="51" customFormat="1" ht="15" thickBot="1" x14ac:dyDescent="0.35">
      <c r="A31" s="159" t="s">
        <v>493</v>
      </c>
      <c r="B31" s="502">
        <f t="shared" ref="B31:G31" si="3">SUM(B6:B30)</f>
        <v>4482258</v>
      </c>
      <c r="C31" s="502">
        <f t="shared" si="3"/>
        <v>4731103</v>
      </c>
      <c r="D31" s="502">
        <f t="shared" si="3"/>
        <v>5047305.72</v>
      </c>
      <c r="E31" s="502">
        <f t="shared" si="3"/>
        <v>3078909</v>
      </c>
      <c r="F31" s="502">
        <f>SUM(F6:F30)</f>
        <v>2897522</v>
      </c>
      <c r="G31" s="502">
        <f t="shared" si="3"/>
        <v>20237097.719999999</v>
      </c>
      <c r="I31" s="51" t="s">
        <v>15</v>
      </c>
      <c r="J31" s="116"/>
      <c r="M31" s="63" t="s">
        <v>30</v>
      </c>
      <c r="N31" s="64"/>
      <c r="O31" s="64"/>
      <c r="P31" s="64"/>
      <c r="Q31" s="64"/>
      <c r="R31" s="64"/>
    </row>
    <row r="32" spans="1:21" s="51" customFormat="1" ht="15.6" thickTop="1" thickBot="1" x14ac:dyDescent="0.35">
      <c r="A32" s="54" t="s">
        <v>463</v>
      </c>
      <c r="B32" s="55"/>
      <c r="C32" s="55"/>
      <c r="D32" s="55"/>
      <c r="E32" s="55"/>
      <c r="F32" s="55"/>
      <c r="G32" s="55"/>
      <c r="J32" s="116"/>
      <c r="M32" s="58"/>
      <c r="N32" s="64"/>
      <c r="O32" s="64"/>
      <c r="P32" s="64"/>
      <c r="Q32" s="64"/>
      <c r="R32" s="64"/>
    </row>
    <row r="33" spans="1:22" s="51" customFormat="1" x14ac:dyDescent="0.3">
      <c r="A33" s="78" t="s">
        <v>1</v>
      </c>
      <c r="B33" s="64"/>
      <c r="C33" s="64"/>
      <c r="D33" s="64"/>
      <c r="E33" s="64"/>
      <c r="F33" s="64"/>
      <c r="G33" s="51" t="s">
        <v>15</v>
      </c>
      <c r="I33" s="51">
        <f>SUM(B33:F33)</f>
        <v>0</v>
      </c>
      <c r="J33" s="116"/>
      <c r="M33" s="78" t="s">
        <v>111</v>
      </c>
      <c r="N33" s="78">
        <v>966987</v>
      </c>
      <c r="O33" s="78">
        <f>1137391+13605</f>
        <v>1150996</v>
      </c>
      <c r="P33" s="78">
        <v>1346408</v>
      </c>
      <c r="Q33" s="78">
        <v>822139</v>
      </c>
      <c r="R33" s="78">
        <v>725207</v>
      </c>
      <c r="S33" s="51">
        <f>SUM(N33:R33)</f>
        <v>5011737</v>
      </c>
      <c r="T33" s="509">
        <v>1.0329999999999999</v>
      </c>
    </row>
    <row r="34" spans="1:22" s="51" customFormat="1" x14ac:dyDescent="0.3">
      <c r="A34" s="78" t="s">
        <v>111</v>
      </c>
      <c r="B34" s="78">
        <v>944000</v>
      </c>
      <c r="C34" s="78">
        <v>1140000</v>
      </c>
      <c r="D34" s="78">
        <v>1328000</v>
      </c>
      <c r="E34" s="78">
        <v>798161</v>
      </c>
      <c r="F34" s="78">
        <v>745000</v>
      </c>
      <c r="G34" s="51">
        <f>SUM(B34:F34)</f>
        <v>4955161</v>
      </c>
      <c r="I34" s="51">
        <f>SUM(B34:F34)</f>
        <v>4955161</v>
      </c>
      <c r="J34" s="116"/>
      <c r="M34" s="78" t="s">
        <v>112</v>
      </c>
      <c r="N34" s="78">
        <v>25000</v>
      </c>
      <c r="O34" s="78">
        <v>18100</v>
      </c>
      <c r="P34" s="78">
        <v>19000</v>
      </c>
      <c r="Q34" s="78">
        <v>7000</v>
      </c>
      <c r="R34" s="78">
        <v>8000</v>
      </c>
      <c r="S34" s="51">
        <f>SUM(N34:R34)</f>
        <v>77100</v>
      </c>
      <c r="V34" s="269" t="s">
        <v>15</v>
      </c>
    </row>
    <row r="35" spans="1:22" s="51" customFormat="1" ht="14.25" customHeight="1" x14ac:dyDescent="0.3">
      <c r="A35" s="78" t="s">
        <v>112</v>
      </c>
      <c r="B35" s="78">
        <v>25000</v>
      </c>
      <c r="C35" s="78">
        <v>18100</v>
      </c>
      <c r="D35" s="78">
        <v>19000</v>
      </c>
      <c r="E35" s="78">
        <v>7000</v>
      </c>
      <c r="F35" s="78">
        <v>10000</v>
      </c>
      <c r="G35" s="51">
        <f>SUM(B35:F35)</f>
        <v>79100</v>
      </c>
      <c r="H35" s="269"/>
      <c r="I35" s="51">
        <f>SUM(B35:F35)</f>
        <v>79100</v>
      </c>
      <c r="J35" s="116"/>
      <c r="M35" s="78" t="s">
        <v>113</v>
      </c>
      <c r="N35" s="82">
        <v>46300</v>
      </c>
      <c r="O35" s="82">
        <f>29800-3000</f>
        <v>26800</v>
      </c>
      <c r="P35" s="82">
        <v>47000</v>
      </c>
      <c r="Q35" s="82">
        <v>15000</v>
      </c>
      <c r="R35" s="82">
        <v>10000</v>
      </c>
      <c r="S35" s="51">
        <f>SUM(N35:R35)</f>
        <v>145100</v>
      </c>
      <c r="T35" s="269"/>
    </row>
    <row r="36" spans="1:22" s="51" customFormat="1" ht="13.5" customHeight="1" x14ac:dyDescent="0.3">
      <c r="A36" s="78" t="s">
        <v>113</v>
      </c>
      <c r="B36" s="82">
        <f>36200+3000+1000+4000+4000</f>
        <v>48200</v>
      </c>
      <c r="C36" s="82">
        <f>34800+1000+1000</f>
        <v>36800</v>
      </c>
      <c r="D36" s="82">
        <v>48400</v>
      </c>
      <c r="E36" s="82">
        <v>15000</v>
      </c>
      <c r="F36" s="82">
        <v>10000</v>
      </c>
      <c r="G36" s="51">
        <f>SUM(B36:F36)</f>
        <v>158400</v>
      </c>
      <c r="I36" s="366">
        <f>SUM(I33:I35)</f>
        <v>5034261</v>
      </c>
      <c r="J36" s="116"/>
      <c r="M36" s="78" t="s">
        <v>291</v>
      </c>
      <c r="N36" s="81">
        <v>0</v>
      </c>
      <c r="O36" s="81">
        <v>0</v>
      </c>
      <c r="P36" s="81">
        <v>0</v>
      </c>
      <c r="Q36" s="81">
        <v>0</v>
      </c>
      <c r="R36" s="81">
        <v>0</v>
      </c>
      <c r="S36" s="51">
        <f>SUM(N36:R36)</f>
        <v>0</v>
      </c>
      <c r="U36" s="366"/>
    </row>
    <row r="37" spans="1:22" s="51" customFormat="1" x14ac:dyDescent="0.3">
      <c r="A37" s="78" t="s">
        <v>291</v>
      </c>
      <c r="B37" s="81">
        <f>26969+5100+30000</f>
        <v>62069</v>
      </c>
      <c r="C37" s="81">
        <f>35395+5100+32400</f>
        <v>72895</v>
      </c>
      <c r="D37" s="81">
        <f>39067+5100+36500</f>
        <v>80667</v>
      </c>
      <c r="E37" s="81">
        <f>23353+5100+25500</f>
        <v>53953</v>
      </c>
      <c r="F37" s="81">
        <f>5100+20964+29500</f>
        <v>55564</v>
      </c>
      <c r="G37" s="51">
        <f>SUM(B37:F37)</f>
        <v>325148</v>
      </c>
      <c r="H37" s="547" t="s">
        <v>767</v>
      </c>
      <c r="J37" s="116"/>
      <c r="M37" s="78" t="s">
        <v>114</v>
      </c>
      <c r="N37" s="263">
        <f t="shared" ref="N37:S37" si="4">SUM(N33:N36)</f>
        <v>1038287</v>
      </c>
      <c r="O37" s="263">
        <f t="shared" si="4"/>
        <v>1195896</v>
      </c>
      <c r="P37" s="263">
        <f t="shared" si="4"/>
        <v>1412408</v>
      </c>
      <c r="Q37" s="263">
        <f t="shared" si="4"/>
        <v>844139</v>
      </c>
      <c r="R37" s="263">
        <f t="shared" si="4"/>
        <v>743207</v>
      </c>
      <c r="S37" s="366">
        <f t="shared" si="4"/>
        <v>5233937</v>
      </c>
    </row>
    <row r="38" spans="1:22" s="51" customFormat="1" ht="12" customHeight="1" x14ac:dyDescent="0.3">
      <c r="A38" s="78" t="s">
        <v>114</v>
      </c>
      <c r="B38" s="263">
        <f t="shared" ref="B38:G38" si="5">SUM(B34:B37)</f>
        <v>1079269</v>
      </c>
      <c r="C38" s="263">
        <f t="shared" si="5"/>
        <v>1267795</v>
      </c>
      <c r="D38" s="263">
        <f t="shared" si="5"/>
        <v>1476067</v>
      </c>
      <c r="E38" s="263">
        <f t="shared" si="5"/>
        <v>874114</v>
      </c>
      <c r="F38" s="263">
        <f t="shared" si="5"/>
        <v>820564</v>
      </c>
      <c r="G38" s="366">
        <f t="shared" si="5"/>
        <v>5517809</v>
      </c>
      <c r="I38" s="51">
        <f>SUM(B38:F38)</f>
        <v>5517809</v>
      </c>
      <c r="J38" s="116"/>
      <c r="M38" s="78" t="s">
        <v>115</v>
      </c>
      <c r="N38" s="82"/>
      <c r="O38" s="82"/>
      <c r="P38" s="64" t="s">
        <v>15</v>
      </c>
      <c r="Q38" s="64"/>
      <c r="R38" s="82"/>
    </row>
    <row r="39" spans="1:22" s="51" customFormat="1" ht="12.75" customHeight="1" x14ac:dyDescent="0.3">
      <c r="A39" s="78" t="s">
        <v>115</v>
      </c>
      <c r="B39" s="82"/>
      <c r="C39" s="82"/>
      <c r="D39" s="64" t="s">
        <v>15</v>
      </c>
      <c r="E39" s="64"/>
      <c r="F39" s="82"/>
      <c r="I39" s="51">
        <f>SUM(B39:F39)</f>
        <v>0</v>
      </c>
      <c r="J39" s="116"/>
      <c r="M39" s="78" t="s">
        <v>116</v>
      </c>
      <c r="N39" s="82">
        <f>N37*0.0145</f>
        <v>15055.1615</v>
      </c>
      <c r="O39" s="82">
        <f>O37*0.0145</f>
        <v>17340.492000000002</v>
      </c>
      <c r="P39" s="82">
        <f>P37*0.0145</f>
        <v>20479.916000000001</v>
      </c>
      <c r="Q39" s="82">
        <f>Q37*0.0145</f>
        <v>12240.015500000001</v>
      </c>
      <c r="R39" s="82">
        <f>R37*0.0145</f>
        <v>10776.5015</v>
      </c>
      <c r="S39" s="51">
        <f>SUM(N39:R39)</f>
        <v>75892.086500000005</v>
      </c>
    </row>
    <row r="40" spans="1:22" s="51" customFormat="1" ht="13.5" customHeight="1" x14ac:dyDescent="0.3">
      <c r="A40" s="78" t="s">
        <v>116</v>
      </c>
      <c r="B40" s="82">
        <f>B38*0.0145</f>
        <v>15649.400500000002</v>
      </c>
      <c r="C40" s="82">
        <f>C38*0.0145</f>
        <v>18383.0275</v>
      </c>
      <c r="D40" s="82">
        <f>D38*0.0145</f>
        <v>21402.9715</v>
      </c>
      <c r="E40" s="82">
        <f>E38*0.0145</f>
        <v>12674.653</v>
      </c>
      <c r="F40" s="82">
        <f>F38*0.0145</f>
        <v>11898.178</v>
      </c>
      <c r="G40" s="51">
        <f>SUM(B40:F40)</f>
        <v>80008.230500000005</v>
      </c>
      <c r="I40" s="51">
        <f>SUM(B40:F40)</f>
        <v>80008.230500000005</v>
      </c>
      <c r="J40" s="116"/>
      <c r="M40" s="78" t="s">
        <v>117</v>
      </c>
      <c r="N40" s="82">
        <f>(N33+N34+N35)*0.204</f>
        <v>211810.54799999998</v>
      </c>
      <c r="O40" s="82">
        <f>(O33+O34+O35)*0.204</f>
        <v>243962.78399999999</v>
      </c>
      <c r="P40" s="82">
        <v>308531</v>
      </c>
      <c r="Q40" s="82">
        <f>(Q33+Q34+Q35)*0.204</f>
        <v>172204.356</v>
      </c>
      <c r="R40" s="82">
        <f>(R33+R34+R35)*0.204</f>
        <v>151614.228</v>
      </c>
      <c r="S40" s="51">
        <f>SUM(N40:R40)</f>
        <v>1088122.916</v>
      </c>
    </row>
    <row r="41" spans="1:22" s="51" customFormat="1" ht="12.75" customHeight="1" x14ac:dyDescent="0.3">
      <c r="A41" s="78" t="s">
        <v>117</v>
      </c>
      <c r="B41" s="82">
        <f>(B34+B35+B36)*0.204</f>
        <v>207508.8</v>
      </c>
      <c r="C41" s="82">
        <f>(C34+C35+C36)*0.204</f>
        <v>243759.59999999998</v>
      </c>
      <c r="D41" s="82">
        <f>(D34+D35+D36)*0.204</f>
        <v>284661.59999999998</v>
      </c>
      <c r="E41" s="82">
        <f>(E34+E35+E36)*0.204</f>
        <v>167312.84399999998</v>
      </c>
      <c r="F41" s="82">
        <f>(F34+F35+F36)*0.204</f>
        <v>156060</v>
      </c>
      <c r="G41" s="51">
        <f>SUM(B41:F41)</f>
        <v>1059302.844</v>
      </c>
      <c r="I41" s="366">
        <f>SUM(I38:I40)</f>
        <v>5597817.2304999996</v>
      </c>
      <c r="J41" s="116"/>
      <c r="M41" s="78" t="s">
        <v>692</v>
      </c>
      <c r="N41" s="82">
        <f>N33*0.0125</f>
        <v>12087.337500000001</v>
      </c>
      <c r="O41" s="82">
        <f>O33*0.0125</f>
        <v>14387.45</v>
      </c>
      <c r="P41" s="82">
        <f>P33*0.0125</f>
        <v>16830.100000000002</v>
      </c>
      <c r="Q41" s="82">
        <f>Q33*0.0125</f>
        <v>10276.737500000001</v>
      </c>
      <c r="R41" s="82">
        <f>R33*0.0125</f>
        <v>9065.0874999999996</v>
      </c>
      <c r="S41" s="51">
        <f>SUM(N41:R41)</f>
        <v>62646.712500000009</v>
      </c>
      <c r="T41" s="51" t="s">
        <v>684</v>
      </c>
    </row>
    <row r="42" spans="1:22" s="51" customFormat="1" x14ac:dyDescent="0.3">
      <c r="A42" s="78" t="s">
        <v>118</v>
      </c>
      <c r="B42" s="81">
        <v>210000</v>
      </c>
      <c r="C42" s="81">
        <v>281000</v>
      </c>
      <c r="D42" s="81">
        <v>430000</v>
      </c>
      <c r="E42" s="81">
        <v>256000</v>
      </c>
      <c r="F42" s="81">
        <v>186000</v>
      </c>
      <c r="G42" s="51">
        <f>SUM(B42:F42)</f>
        <v>1363000</v>
      </c>
      <c r="I42" s="58"/>
      <c r="J42" s="116"/>
      <c r="M42" s="78" t="s">
        <v>118</v>
      </c>
      <c r="N42" s="81">
        <v>195420</v>
      </c>
      <c r="O42" s="81">
        <v>287926</v>
      </c>
      <c r="P42" s="81">
        <v>388921</v>
      </c>
      <c r="Q42" s="81">
        <v>238973</v>
      </c>
      <c r="R42" s="81">
        <v>173644</v>
      </c>
      <c r="S42" s="51">
        <f>SUM(N42:R42)</f>
        <v>1284884</v>
      </c>
      <c r="T42" s="51" t="s">
        <v>691</v>
      </c>
      <c r="U42" s="366"/>
    </row>
    <row r="43" spans="1:22" s="51" customFormat="1" x14ac:dyDescent="0.3">
      <c r="A43" s="78" t="s">
        <v>119</v>
      </c>
      <c r="B43" s="263">
        <f t="shared" ref="B43:G43" si="6">SUM(B40:B42)</f>
        <v>433158.20049999998</v>
      </c>
      <c r="C43" s="263">
        <f t="shared" si="6"/>
        <v>543142.62749999994</v>
      </c>
      <c r="D43" s="264">
        <f t="shared" si="6"/>
        <v>736064.57149999996</v>
      </c>
      <c r="E43" s="264">
        <f t="shared" si="6"/>
        <v>435987.49699999997</v>
      </c>
      <c r="F43" s="263">
        <f t="shared" si="6"/>
        <v>353958.17800000001</v>
      </c>
      <c r="G43" s="366">
        <f t="shared" si="6"/>
        <v>2502311.0745000001</v>
      </c>
      <c r="I43" s="58"/>
      <c r="J43" s="116"/>
      <c r="M43" s="78" t="s">
        <v>119</v>
      </c>
      <c r="N43" s="263">
        <f t="shared" ref="N43:S43" si="7">SUM(N39:N42)</f>
        <v>434373.04699999996</v>
      </c>
      <c r="O43" s="263">
        <f t="shared" si="7"/>
        <v>563616.72600000002</v>
      </c>
      <c r="P43" s="264">
        <f t="shared" si="7"/>
        <v>734762.01600000006</v>
      </c>
      <c r="Q43" s="264">
        <f t="shared" si="7"/>
        <v>433694.109</v>
      </c>
      <c r="R43" s="263">
        <f t="shared" si="7"/>
        <v>345099.81700000004</v>
      </c>
      <c r="S43" s="366">
        <f t="shared" si="7"/>
        <v>2511545.7149999999</v>
      </c>
      <c r="U43" s="58"/>
    </row>
    <row r="44" spans="1:22" s="51" customFormat="1" x14ac:dyDescent="0.3">
      <c r="A44" s="78" t="s">
        <v>464</v>
      </c>
      <c r="B44" s="77"/>
      <c r="C44" s="77"/>
      <c r="D44" s="76"/>
      <c r="E44" s="76"/>
      <c r="F44" s="77">
        <v>20361</v>
      </c>
      <c r="G44" s="51">
        <f t="shared" ref="G44:G51" si="8">SUM(B44:F44)</f>
        <v>20361</v>
      </c>
      <c r="I44" s="58"/>
      <c r="J44" s="116"/>
      <c r="M44" s="78" t="s">
        <v>464</v>
      </c>
      <c r="N44" s="77"/>
      <c r="O44" s="77"/>
      <c r="P44" s="76"/>
      <c r="Q44" s="76"/>
      <c r="R44" s="77">
        <v>20361</v>
      </c>
      <c r="S44" s="51">
        <f t="shared" ref="S44:S52" si="9">SUM(N44:R44)</f>
        <v>20361</v>
      </c>
      <c r="U44" s="58"/>
    </row>
    <row r="45" spans="1:22" s="51" customFormat="1" x14ac:dyDescent="0.3">
      <c r="A45" s="78" t="s">
        <v>82</v>
      </c>
      <c r="B45" s="77">
        <v>32000</v>
      </c>
      <c r="C45" s="77">
        <v>32000</v>
      </c>
      <c r="D45" s="76">
        <v>32000</v>
      </c>
      <c r="E45" s="76">
        <v>25500</v>
      </c>
      <c r="F45" s="77">
        <v>24000</v>
      </c>
      <c r="G45" s="51">
        <f t="shared" si="8"/>
        <v>145500</v>
      </c>
      <c r="I45" s="58"/>
      <c r="J45" s="116"/>
      <c r="M45" s="78" t="s">
        <v>82</v>
      </c>
      <c r="N45" s="77">
        <v>32000</v>
      </c>
      <c r="O45" s="77">
        <v>32000</v>
      </c>
      <c r="P45" s="76">
        <v>32000</v>
      </c>
      <c r="Q45" s="76">
        <v>25500</v>
      </c>
      <c r="R45" s="77">
        <v>24000</v>
      </c>
      <c r="S45" s="51">
        <f t="shared" si="9"/>
        <v>145500</v>
      </c>
      <c r="U45" s="58"/>
    </row>
    <row r="46" spans="1:22" s="51" customFormat="1" x14ac:dyDescent="0.3">
      <c r="A46" s="78" t="s">
        <v>455</v>
      </c>
      <c r="B46" s="77">
        <f>920*250</f>
        <v>230000</v>
      </c>
      <c r="C46" s="77">
        <f>920*300</f>
        <v>276000</v>
      </c>
      <c r="D46" s="77">
        <f>920*360</f>
        <v>331200</v>
      </c>
      <c r="E46" s="77">
        <f>60500+12500</f>
        <v>73000</v>
      </c>
      <c r="F46" s="77">
        <f>825*F4</f>
        <v>260700</v>
      </c>
      <c r="G46" s="51">
        <f t="shared" si="8"/>
        <v>1170900</v>
      </c>
      <c r="I46" s="58"/>
      <c r="J46" s="116"/>
      <c r="M46" s="78" t="s">
        <v>455</v>
      </c>
      <c r="N46" s="77">
        <v>223694</v>
      </c>
      <c r="O46" s="77">
        <v>228777</v>
      </c>
      <c r="P46" s="77">
        <v>303003</v>
      </c>
      <c r="Q46" s="77">
        <v>60500</v>
      </c>
      <c r="R46" s="77">
        <v>265749</v>
      </c>
      <c r="S46" s="51">
        <f t="shared" si="9"/>
        <v>1081723</v>
      </c>
      <c r="U46" s="58"/>
    </row>
    <row r="47" spans="1:22" s="51" customFormat="1" x14ac:dyDescent="0.3">
      <c r="A47" s="78" t="s">
        <v>690</v>
      </c>
      <c r="B47" s="77">
        <v>38000</v>
      </c>
      <c r="C47" s="77">
        <v>62000</v>
      </c>
      <c r="D47" s="77">
        <v>30000</v>
      </c>
      <c r="E47" s="77">
        <v>25000</v>
      </c>
      <c r="F47" s="77">
        <v>55000</v>
      </c>
      <c r="G47" s="51">
        <f t="shared" si="8"/>
        <v>210000</v>
      </c>
      <c r="I47" s="58"/>
      <c r="J47" s="116"/>
      <c r="M47" s="78" t="s">
        <v>690</v>
      </c>
      <c r="N47" s="77">
        <v>38500</v>
      </c>
      <c r="O47" s="77">
        <v>55916</v>
      </c>
      <c r="P47" s="77">
        <v>33000</v>
      </c>
      <c r="Q47" s="77">
        <v>26488</v>
      </c>
      <c r="R47" s="77">
        <v>75000</v>
      </c>
      <c r="S47" s="51">
        <f t="shared" si="9"/>
        <v>228904</v>
      </c>
      <c r="U47" s="58"/>
    </row>
    <row r="48" spans="1:22" s="51" customFormat="1" x14ac:dyDescent="0.3">
      <c r="A48" s="78" t="s">
        <v>85</v>
      </c>
      <c r="B48" s="77">
        <v>42535</v>
      </c>
      <c r="C48" s="77">
        <v>30885</v>
      </c>
      <c r="D48" s="77">
        <v>30000</v>
      </c>
      <c r="E48" s="77">
        <v>10000</v>
      </c>
      <c r="F48" s="77">
        <v>15500</v>
      </c>
      <c r="G48" s="51">
        <f t="shared" si="8"/>
        <v>128920</v>
      </c>
      <c r="I48" s="58"/>
      <c r="J48" s="116"/>
      <c r="M48" s="78" t="s">
        <v>85</v>
      </c>
      <c r="N48" s="77">
        <v>43120</v>
      </c>
      <c r="O48" s="77">
        <v>30885</v>
      </c>
      <c r="P48" s="77">
        <v>22000</v>
      </c>
      <c r="Q48" s="77">
        <v>11000</v>
      </c>
      <c r="R48" s="77">
        <v>15000</v>
      </c>
      <c r="S48" s="51">
        <f t="shared" si="9"/>
        <v>122005</v>
      </c>
      <c r="U48" s="58"/>
    </row>
    <row r="49" spans="1:22" s="51" customFormat="1" x14ac:dyDescent="0.3">
      <c r="A49" s="78" t="s">
        <v>465</v>
      </c>
      <c r="B49" s="51">
        <v>166820</v>
      </c>
      <c r="C49" s="51">
        <v>59619</v>
      </c>
      <c r="G49" s="51">
        <f t="shared" si="8"/>
        <v>226439</v>
      </c>
      <c r="I49" s="58"/>
      <c r="J49" s="116"/>
      <c r="M49" s="78" t="s">
        <v>465</v>
      </c>
      <c r="N49" s="51">
        <v>154465</v>
      </c>
      <c r="O49" s="51">
        <v>48775</v>
      </c>
      <c r="S49" s="51">
        <f t="shared" si="9"/>
        <v>203240</v>
      </c>
      <c r="U49" s="58"/>
    </row>
    <row r="50" spans="1:22" s="51" customFormat="1" x14ac:dyDescent="0.3">
      <c r="A50" s="78" t="s">
        <v>607</v>
      </c>
      <c r="C50" s="51">
        <v>0</v>
      </c>
      <c r="D50" s="51">
        <v>19535</v>
      </c>
      <c r="E50" s="51">
        <f>3000+8000</f>
        <v>11000</v>
      </c>
      <c r="G50" s="51">
        <f t="shared" si="8"/>
        <v>30535</v>
      </c>
      <c r="I50" s="58"/>
      <c r="J50" s="116"/>
      <c r="M50" s="78" t="s">
        <v>607</v>
      </c>
      <c r="O50" s="51">
        <v>0</v>
      </c>
      <c r="P50" s="51">
        <v>19535</v>
      </c>
      <c r="Q50" s="51">
        <f>3000+8000</f>
        <v>11000</v>
      </c>
      <c r="S50" s="51">
        <f t="shared" si="9"/>
        <v>30535</v>
      </c>
      <c r="U50" s="58"/>
    </row>
    <row r="51" spans="1:22" s="51" customFormat="1" x14ac:dyDescent="0.3">
      <c r="A51" s="367" t="s">
        <v>703</v>
      </c>
      <c r="B51" s="81">
        <v>2028</v>
      </c>
      <c r="C51" s="81">
        <v>5000</v>
      </c>
      <c r="D51" s="66">
        <f>5000+32000+15000</f>
        <v>52000</v>
      </c>
      <c r="E51" s="66">
        <f>18700+10000</f>
        <v>28700</v>
      </c>
      <c r="F51" s="81">
        <v>23500</v>
      </c>
      <c r="G51" s="63">
        <f t="shared" si="8"/>
        <v>111228</v>
      </c>
      <c r="H51" s="51" t="s">
        <v>768</v>
      </c>
      <c r="I51" s="51">
        <f>+I36+I41</f>
        <v>10632078.2305</v>
      </c>
      <c r="J51" s="116"/>
      <c r="M51" s="78" t="s">
        <v>544</v>
      </c>
      <c r="O51" s="51">
        <v>0</v>
      </c>
      <c r="S51" s="51">
        <f t="shared" si="9"/>
        <v>0</v>
      </c>
      <c r="U51" s="58"/>
    </row>
    <row r="52" spans="1:22" s="51" customFormat="1" ht="15.75" customHeight="1" x14ac:dyDescent="0.3">
      <c r="A52" s="51" t="s">
        <v>704</v>
      </c>
      <c r="B52" s="51">
        <f t="shared" ref="B52:G52" si="10">+B51+B49+B48+B47+B46+B45+B43+B38+B44+B50</f>
        <v>2023810.2005</v>
      </c>
      <c r="C52" s="51">
        <f t="shared" si="10"/>
        <v>2276441.6274999999</v>
      </c>
      <c r="D52" s="51">
        <f t="shared" si="10"/>
        <v>2706866.5715000001</v>
      </c>
      <c r="E52" s="51">
        <f t="shared" si="10"/>
        <v>1483301.497</v>
      </c>
      <c r="F52" s="51">
        <f t="shared" si="10"/>
        <v>1573583.1780000001</v>
      </c>
      <c r="G52" s="51">
        <f t="shared" si="10"/>
        <v>10064003.0745</v>
      </c>
      <c r="J52" s="116"/>
      <c r="M52" s="367" t="s">
        <v>598</v>
      </c>
      <c r="N52" s="81">
        <v>0</v>
      </c>
      <c r="O52" s="81">
        <f>1000+200</f>
        <v>1200</v>
      </c>
      <c r="P52" s="66">
        <v>5000</v>
      </c>
      <c r="Q52" s="66"/>
      <c r="R52" s="81">
        <v>23500</v>
      </c>
      <c r="S52" s="63">
        <f t="shared" si="9"/>
        <v>29700</v>
      </c>
    </row>
    <row r="53" spans="1:22" s="51" customFormat="1" x14ac:dyDescent="0.3">
      <c r="A53" s="60"/>
      <c r="G53" s="60"/>
      <c r="J53" s="116"/>
      <c r="M53" s="51" t="s">
        <v>88</v>
      </c>
      <c r="N53" s="51">
        <f t="shared" ref="N53:S53" si="11">+N52+N49+N48+N47+N46+N45+N43+N37+N44+N50+N51</f>
        <v>1964439.047</v>
      </c>
      <c r="O53" s="51">
        <f t="shared" si="11"/>
        <v>2157065.7259999998</v>
      </c>
      <c r="P53" s="51">
        <f t="shared" si="11"/>
        <v>2561708.0159999998</v>
      </c>
      <c r="Q53" s="51">
        <f t="shared" si="11"/>
        <v>1412321.1089999999</v>
      </c>
      <c r="R53" s="51">
        <f t="shared" si="11"/>
        <v>1511916.817</v>
      </c>
      <c r="S53" s="51">
        <f t="shared" si="11"/>
        <v>9607450.7149999999</v>
      </c>
    </row>
    <row r="54" spans="1:22" s="51" customFormat="1" x14ac:dyDescent="0.3">
      <c r="A54" s="128" t="s">
        <v>35</v>
      </c>
      <c r="I54" s="51">
        <f>SUM(B54:F54)</f>
        <v>0</v>
      </c>
      <c r="J54" s="116"/>
    </row>
    <row r="55" spans="1:22" s="51" customFormat="1" x14ac:dyDescent="0.3">
      <c r="A55" s="78" t="s">
        <v>120</v>
      </c>
      <c r="B55" s="78">
        <v>242306</v>
      </c>
      <c r="C55" s="78">
        <v>137476</v>
      </c>
      <c r="D55" s="78">
        <v>119160</v>
      </c>
      <c r="E55" s="78">
        <v>80833</v>
      </c>
      <c r="F55" s="78">
        <v>102016</v>
      </c>
      <c r="G55" s="51">
        <f t="shared" ref="G55:G66" si="12">SUM(B55:F55)</f>
        <v>681791</v>
      </c>
      <c r="I55" s="51">
        <f>SUM(B55:F55)</f>
        <v>681791</v>
      </c>
      <c r="J55" s="116" t="s">
        <v>739</v>
      </c>
      <c r="M55" s="63" t="s">
        <v>35</v>
      </c>
    </row>
    <row r="56" spans="1:22" s="51" customFormat="1" x14ac:dyDescent="0.3">
      <c r="A56" s="78" t="s">
        <v>122</v>
      </c>
      <c r="B56" s="77">
        <f>B55*0.0145</f>
        <v>3513.4370000000004</v>
      </c>
      <c r="C56" s="77">
        <f>C55*0.0145</f>
        <v>1993.402</v>
      </c>
      <c r="D56" s="77">
        <f>D55*0.0145</f>
        <v>1727.8200000000002</v>
      </c>
      <c r="E56" s="77">
        <f>E55*0.0145</f>
        <v>1172.0785000000001</v>
      </c>
      <c r="F56" s="77">
        <f>F55*0.0145</f>
        <v>1479.232</v>
      </c>
      <c r="G56" s="51">
        <f t="shared" si="12"/>
        <v>9885.9694999999992</v>
      </c>
      <c r="I56" s="51">
        <f>SUM(B56:F56)</f>
        <v>9885.9694999999992</v>
      </c>
      <c r="J56" s="116" t="s">
        <v>740</v>
      </c>
      <c r="M56" s="78" t="s">
        <v>120</v>
      </c>
      <c r="N56" s="78">
        <f>193378+18336</f>
        <v>211714</v>
      </c>
      <c r="O56" s="78">
        <v>141250</v>
      </c>
      <c r="P56" s="78">
        <v>119680</v>
      </c>
      <c r="Q56" s="78">
        <v>81853</v>
      </c>
      <c r="R56" s="78">
        <v>101372</v>
      </c>
      <c r="S56" s="51">
        <f t="shared" ref="S56:S69" si="13">SUM(N56:R56)</f>
        <v>655869</v>
      </c>
    </row>
    <row r="57" spans="1:22" s="51" customFormat="1" x14ac:dyDescent="0.3">
      <c r="A57" s="78" t="s">
        <v>123</v>
      </c>
      <c r="B57" s="77">
        <f>B55*0.204</f>
        <v>49430.423999999999</v>
      </c>
      <c r="C57" s="77">
        <f>C55*0.204</f>
        <v>28045.103999999999</v>
      </c>
      <c r="D57" s="77">
        <f>D55*0.204</f>
        <v>24308.639999999999</v>
      </c>
      <c r="E57" s="77">
        <f>E55*0.204</f>
        <v>16489.932000000001</v>
      </c>
      <c r="F57" s="77">
        <f>F55*0.204</f>
        <v>20811.263999999999</v>
      </c>
      <c r="G57" s="51">
        <f t="shared" si="12"/>
        <v>139085.364</v>
      </c>
      <c r="I57" s="51">
        <f>SUM(B57:F57)</f>
        <v>139085.364</v>
      </c>
      <c r="J57" s="116"/>
      <c r="M57" s="78" t="s">
        <v>122</v>
      </c>
      <c r="N57" s="77">
        <f>N56*0.0145</f>
        <v>3069.8530000000001</v>
      </c>
      <c r="O57" s="77">
        <f>O56*0.0145</f>
        <v>2048.125</v>
      </c>
      <c r="P57" s="77">
        <f>P56*0.0145</f>
        <v>1735.3600000000001</v>
      </c>
      <c r="Q57" s="77">
        <f>Q56*0.0145</f>
        <v>1186.8685</v>
      </c>
      <c r="R57" s="77">
        <f>R56*0.0145</f>
        <v>1469.894</v>
      </c>
      <c r="S57" s="51">
        <f t="shared" si="13"/>
        <v>9510.1005000000005</v>
      </c>
    </row>
    <row r="58" spans="1:22" s="51" customFormat="1" x14ac:dyDescent="0.3">
      <c r="A58" s="78" t="s">
        <v>124</v>
      </c>
      <c r="B58" s="77">
        <v>53000</v>
      </c>
      <c r="C58" s="77">
        <v>36500</v>
      </c>
      <c r="D58" s="77">
        <v>28500</v>
      </c>
      <c r="E58" s="77">
        <v>21031</v>
      </c>
      <c r="F58" s="77">
        <v>36000</v>
      </c>
      <c r="G58" s="51">
        <f t="shared" si="12"/>
        <v>175031</v>
      </c>
      <c r="J58" s="116"/>
      <c r="M58" s="78" t="s">
        <v>123</v>
      </c>
      <c r="N58" s="77">
        <f>N56*0.204</f>
        <v>43189.655999999995</v>
      </c>
      <c r="O58" s="77">
        <f>O56*0.204</f>
        <v>28814.999999999996</v>
      </c>
      <c r="P58" s="77">
        <f>P56*0.204</f>
        <v>24414.719999999998</v>
      </c>
      <c r="Q58" s="77">
        <f>Q56*0.204</f>
        <v>16698.011999999999</v>
      </c>
      <c r="R58" s="77">
        <f>R56*0.204</f>
        <v>20679.887999999999</v>
      </c>
      <c r="S58" s="51">
        <f t="shared" si="13"/>
        <v>133797.27599999998</v>
      </c>
    </row>
    <row r="59" spans="1:22" s="78" customFormat="1" ht="12.6" customHeight="1" x14ac:dyDescent="0.3">
      <c r="A59" s="78" t="s">
        <v>502</v>
      </c>
      <c r="B59" s="77">
        <v>3000</v>
      </c>
      <c r="C59" s="77">
        <v>5000</v>
      </c>
      <c r="D59" s="77">
        <v>5000</v>
      </c>
      <c r="E59" s="77">
        <v>1200</v>
      </c>
      <c r="F59" s="77">
        <v>5000</v>
      </c>
      <c r="G59" s="51">
        <f t="shared" si="12"/>
        <v>19200</v>
      </c>
      <c r="H59" s="51"/>
      <c r="I59" s="51">
        <f>SUM(B59:F59)</f>
        <v>19200</v>
      </c>
      <c r="J59" s="481"/>
      <c r="M59" s="78" t="s">
        <v>685</v>
      </c>
      <c r="N59" s="82">
        <f>N56*0.0125</f>
        <v>2646.4250000000002</v>
      </c>
      <c r="O59" s="82">
        <f>O56*0.0125</f>
        <v>1765.625</v>
      </c>
      <c r="P59" s="82">
        <f>P56*0.0125</f>
        <v>1496</v>
      </c>
      <c r="Q59" s="82">
        <f>Q56*0.0125</f>
        <v>1023.1625</v>
      </c>
      <c r="R59" s="82">
        <f>R56*0.0125</f>
        <v>1267.1500000000001</v>
      </c>
      <c r="S59" s="51">
        <f t="shared" si="13"/>
        <v>8198.3625000000011</v>
      </c>
      <c r="T59" s="51" t="s">
        <v>684</v>
      </c>
      <c r="U59" s="51"/>
      <c r="V59" s="51"/>
    </row>
    <row r="60" spans="1:22" s="78" customFormat="1" ht="12.6" customHeight="1" x14ac:dyDescent="0.3">
      <c r="A60" s="78" t="s">
        <v>467</v>
      </c>
      <c r="B60" s="77">
        <v>7000</v>
      </c>
      <c r="C60" s="77">
        <v>7000</v>
      </c>
      <c r="D60" s="77">
        <v>8000</v>
      </c>
      <c r="E60" s="77">
        <v>6000</v>
      </c>
      <c r="F60" s="77"/>
      <c r="G60" s="51">
        <f t="shared" si="12"/>
        <v>28000</v>
      </c>
      <c r="I60" s="51"/>
      <c r="J60" s="481"/>
      <c r="M60" s="78" t="s">
        <v>124</v>
      </c>
      <c r="N60" s="77">
        <v>37773</v>
      </c>
      <c r="O60" s="77">
        <v>31992</v>
      </c>
      <c r="P60" s="77">
        <v>29432</v>
      </c>
      <c r="Q60" s="77">
        <v>21708</v>
      </c>
      <c r="R60" s="77">
        <v>25562</v>
      </c>
      <c r="S60" s="51">
        <f t="shared" si="13"/>
        <v>146467</v>
      </c>
      <c r="T60" s="51"/>
      <c r="U60" s="51"/>
      <c r="V60" s="51"/>
    </row>
    <row r="61" spans="1:22" s="78" customFormat="1" ht="12.6" customHeight="1" x14ac:dyDescent="0.3">
      <c r="A61" s="78" t="s">
        <v>75</v>
      </c>
      <c r="B61" s="77">
        <v>0</v>
      </c>
      <c r="C61" s="77">
        <v>35000</v>
      </c>
      <c r="D61" s="77">
        <v>10000</v>
      </c>
      <c r="E61" s="77">
        <v>5000</v>
      </c>
      <c r="F61" s="77">
        <v>10000</v>
      </c>
      <c r="G61" s="51">
        <f t="shared" si="12"/>
        <v>60000</v>
      </c>
      <c r="I61" s="51"/>
      <c r="J61" s="481"/>
      <c r="M61" s="78" t="s">
        <v>492</v>
      </c>
      <c r="N61" s="77"/>
      <c r="O61" s="77"/>
      <c r="P61" s="77"/>
      <c r="Q61" s="77">
        <v>4524</v>
      </c>
      <c r="R61" s="77"/>
      <c r="S61" s="51">
        <f t="shared" si="13"/>
        <v>4524</v>
      </c>
      <c r="T61" s="51"/>
      <c r="U61" s="51"/>
    </row>
    <row r="62" spans="1:22" s="78" customFormat="1" ht="12.6" customHeight="1" x14ac:dyDescent="0.3">
      <c r="A62" s="78" t="s">
        <v>534</v>
      </c>
      <c r="B62" s="77">
        <v>55375</v>
      </c>
      <c r="C62" s="77">
        <v>20000</v>
      </c>
      <c r="D62" s="77"/>
      <c r="E62" s="77"/>
      <c r="F62" s="77"/>
      <c r="G62" s="51">
        <f t="shared" si="12"/>
        <v>75375</v>
      </c>
      <c r="I62" s="51"/>
      <c r="J62" s="481"/>
      <c r="M62" s="78" t="s">
        <v>502</v>
      </c>
      <c r="N62" s="77">
        <v>3000</v>
      </c>
      <c r="O62" s="77">
        <v>5000</v>
      </c>
      <c r="P62" s="77">
        <v>1000</v>
      </c>
      <c r="Q62" s="77">
        <v>1200</v>
      </c>
      <c r="R62" s="77">
        <v>5000</v>
      </c>
      <c r="S62" s="51">
        <f t="shared" si="13"/>
        <v>15200</v>
      </c>
      <c r="U62" s="51"/>
    </row>
    <row r="63" spans="1:22" s="78" customFormat="1" ht="12.6" customHeight="1" x14ac:dyDescent="0.3">
      <c r="A63" s="78" t="s">
        <v>103</v>
      </c>
      <c r="B63" s="77">
        <v>7500</v>
      </c>
      <c r="C63" s="77">
        <v>7500</v>
      </c>
      <c r="D63" s="77"/>
      <c r="E63" s="77"/>
      <c r="F63" s="77"/>
      <c r="G63" s="51">
        <f t="shared" si="12"/>
        <v>15000</v>
      </c>
      <c r="I63" s="51"/>
      <c r="J63" s="481"/>
      <c r="M63" s="78" t="s">
        <v>467</v>
      </c>
      <c r="N63" s="77">
        <v>8333</v>
      </c>
      <c r="O63" s="77">
        <v>8333</v>
      </c>
      <c r="P63" s="77">
        <v>8333</v>
      </c>
      <c r="Q63" s="77">
        <v>8333</v>
      </c>
      <c r="R63" s="77"/>
      <c r="S63" s="51">
        <f t="shared" si="13"/>
        <v>33332</v>
      </c>
      <c r="U63" s="51"/>
    </row>
    <row r="64" spans="1:22" s="78" customFormat="1" ht="12.6" customHeight="1" x14ac:dyDescent="0.3">
      <c r="A64" s="78" t="s">
        <v>468</v>
      </c>
      <c r="B64" s="77"/>
      <c r="C64" s="77"/>
      <c r="D64" s="77"/>
      <c r="E64" s="77">
        <v>5133</v>
      </c>
      <c r="F64" s="77"/>
      <c r="G64" s="51">
        <f t="shared" si="12"/>
        <v>5133</v>
      </c>
      <c r="I64" s="51"/>
      <c r="J64" s="481"/>
      <c r="M64" s="78" t="s">
        <v>75</v>
      </c>
      <c r="N64" s="77">
        <v>0</v>
      </c>
      <c r="O64" s="77">
        <v>35000</v>
      </c>
      <c r="P64" s="77">
        <v>12000</v>
      </c>
      <c r="Q64" s="77">
        <v>5000</v>
      </c>
      <c r="R64" s="77"/>
      <c r="S64" s="51">
        <f t="shared" si="13"/>
        <v>52000</v>
      </c>
      <c r="U64" s="51"/>
    </row>
    <row r="65" spans="1:22" s="78" customFormat="1" ht="12.6" customHeight="1" x14ac:dyDescent="0.3">
      <c r="A65" s="78" t="s">
        <v>469</v>
      </c>
      <c r="B65" s="77">
        <v>25000</v>
      </c>
      <c r="C65" s="77"/>
      <c r="D65" s="77"/>
      <c r="E65" s="77">
        <v>0</v>
      </c>
      <c r="F65" s="77">
        <v>19072</v>
      </c>
      <c r="G65" s="51">
        <f t="shared" si="12"/>
        <v>44072</v>
      </c>
      <c r="I65" s="51"/>
      <c r="J65" s="481"/>
      <c r="M65" s="78" t="s">
        <v>534</v>
      </c>
      <c r="N65" s="77">
        <v>55375</v>
      </c>
      <c r="O65" s="77">
        <v>20000</v>
      </c>
      <c r="P65" s="77"/>
      <c r="Q65" s="77"/>
      <c r="R65" s="77"/>
      <c r="S65" s="51">
        <f t="shared" si="13"/>
        <v>75375</v>
      </c>
      <c r="U65" s="51"/>
    </row>
    <row r="66" spans="1:22" s="78" customFormat="1" ht="12.6" customHeight="1" x14ac:dyDescent="0.3">
      <c r="A66" s="78" t="s">
        <v>503</v>
      </c>
      <c r="B66" s="81">
        <v>865</v>
      </c>
      <c r="C66" s="81"/>
      <c r="D66" s="81"/>
      <c r="E66" s="81"/>
      <c r="F66" s="81"/>
      <c r="G66" s="63">
        <f t="shared" si="12"/>
        <v>865</v>
      </c>
      <c r="I66" s="51"/>
      <c r="J66" s="481"/>
      <c r="M66" s="78" t="s">
        <v>103</v>
      </c>
      <c r="N66" s="77">
        <v>8365</v>
      </c>
      <c r="O66" s="77">
        <v>5855</v>
      </c>
      <c r="P66" s="77"/>
      <c r="Q66" s="77"/>
      <c r="R66" s="77"/>
      <c r="S66" s="51">
        <f t="shared" si="13"/>
        <v>14220</v>
      </c>
      <c r="U66" s="51"/>
    </row>
    <row r="67" spans="1:22" s="51" customFormat="1" x14ac:dyDescent="0.3">
      <c r="A67" s="51" t="s">
        <v>704</v>
      </c>
      <c r="B67" s="51">
        <f t="shared" ref="B67:G67" si="14">SUM(B55:B66)</f>
        <v>446989.86100000003</v>
      </c>
      <c r="C67" s="51">
        <f t="shared" si="14"/>
        <v>278514.50599999999</v>
      </c>
      <c r="D67" s="51">
        <f t="shared" si="14"/>
        <v>196696.46000000002</v>
      </c>
      <c r="E67" s="51">
        <f t="shared" si="14"/>
        <v>136859.0105</v>
      </c>
      <c r="F67" s="51">
        <f t="shared" si="14"/>
        <v>194378.49599999998</v>
      </c>
      <c r="G67" s="51">
        <f t="shared" si="14"/>
        <v>1253438.3334999999</v>
      </c>
      <c r="H67" s="78"/>
      <c r="I67" s="51">
        <f>SUM(I54:I59)</f>
        <v>849962.33349999995</v>
      </c>
      <c r="J67" s="116"/>
      <c r="M67" s="78" t="s">
        <v>468</v>
      </c>
      <c r="N67" s="77"/>
      <c r="O67" s="77"/>
      <c r="P67" s="77"/>
      <c r="Q67" s="77">
        <v>5133</v>
      </c>
      <c r="R67" s="77"/>
      <c r="S67" s="51">
        <f t="shared" si="13"/>
        <v>5133</v>
      </c>
      <c r="T67" s="78"/>
      <c r="V67" s="78"/>
    </row>
    <row r="68" spans="1:22" s="51" customFormat="1" ht="15.75" customHeight="1" x14ac:dyDescent="0.3">
      <c r="A68" s="60"/>
      <c r="G68" s="60"/>
      <c r="J68" s="116"/>
      <c r="M68" s="78" t="s">
        <v>469</v>
      </c>
      <c r="N68" s="77">
        <v>23000</v>
      </c>
      <c r="O68" s="77"/>
      <c r="P68" s="77"/>
      <c r="Q68" s="77"/>
      <c r="R68" s="77">
        <v>2000</v>
      </c>
      <c r="S68" s="51">
        <f t="shared" si="13"/>
        <v>25000</v>
      </c>
      <c r="T68" s="78"/>
      <c r="V68" s="78"/>
    </row>
    <row r="69" spans="1:22" s="51" customFormat="1" x14ac:dyDescent="0.3">
      <c r="A69" s="128" t="s">
        <v>126</v>
      </c>
      <c r="E69" s="64" t="s">
        <v>15</v>
      </c>
      <c r="G69" s="64" t="s">
        <v>15</v>
      </c>
      <c r="J69" s="116"/>
      <c r="M69" s="78" t="s">
        <v>503</v>
      </c>
      <c r="N69" s="81">
        <v>850</v>
      </c>
      <c r="O69" s="81"/>
      <c r="P69" s="81"/>
      <c r="Q69" s="81"/>
      <c r="R69" s="81"/>
      <c r="S69" s="63">
        <f t="shared" si="13"/>
        <v>850</v>
      </c>
      <c r="T69" s="78"/>
    </row>
    <row r="70" spans="1:22" s="51" customFormat="1" ht="15.75" customHeight="1" x14ac:dyDescent="0.3">
      <c r="A70" s="78" t="s">
        <v>1</v>
      </c>
      <c r="B70" s="78">
        <v>32239</v>
      </c>
      <c r="C70" s="78">
        <v>54149</v>
      </c>
      <c r="D70" s="78">
        <v>35000</v>
      </c>
      <c r="E70" s="78">
        <v>36860</v>
      </c>
      <c r="F70" s="78">
        <f>'[5]18-19'!F70*1.03</f>
        <v>0</v>
      </c>
      <c r="G70" s="51">
        <f t="shared" ref="G70:G78" si="15">SUM(B70:F70)</f>
        <v>158248</v>
      </c>
      <c r="I70" s="51">
        <f>SUM(B70:F70)</f>
        <v>158248</v>
      </c>
      <c r="J70" s="116"/>
      <c r="M70" s="51" t="s">
        <v>545</v>
      </c>
      <c r="N70" s="51">
        <f t="shared" ref="N70:S70" si="16">SUM(N56:N69)</f>
        <v>397315.93400000001</v>
      </c>
      <c r="O70" s="51">
        <f t="shared" si="16"/>
        <v>280058.75</v>
      </c>
      <c r="P70" s="51">
        <f t="shared" si="16"/>
        <v>198091.08</v>
      </c>
      <c r="Q70" s="51">
        <f t="shared" si="16"/>
        <v>146659.04300000001</v>
      </c>
      <c r="R70" s="51">
        <f t="shared" si="16"/>
        <v>157350.932</v>
      </c>
      <c r="S70" s="51">
        <f t="shared" si="16"/>
        <v>1179475.7390000001</v>
      </c>
    </row>
    <row r="71" spans="1:22" s="51" customFormat="1" x14ac:dyDescent="0.3">
      <c r="A71" s="78" t="s">
        <v>122</v>
      </c>
      <c r="B71" s="82">
        <f>B70*0.0145</f>
        <v>467.46550000000002</v>
      </c>
      <c r="C71" s="82">
        <f>C70*0.0145</f>
        <v>785.16050000000007</v>
      </c>
      <c r="D71" s="82">
        <f>D70*0.0145</f>
        <v>507.5</v>
      </c>
      <c r="E71" s="82">
        <f>E70*0.0145</f>
        <v>534.47</v>
      </c>
      <c r="F71" s="82">
        <f>F70*0.0145</f>
        <v>0</v>
      </c>
      <c r="G71" s="51">
        <f t="shared" si="15"/>
        <v>2294.5960000000005</v>
      </c>
      <c r="I71" s="51">
        <f>SUM(B71:F71)</f>
        <v>2294.5960000000005</v>
      </c>
      <c r="J71" s="116"/>
    </row>
    <row r="72" spans="1:22" s="51" customFormat="1" x14ac:dyDescent="0.3">
      <c r="A72" s="78" t="s">
        <v>123</v>
      </c>
      <c r="B72" s="77">
        <f>B70*0.204</f>
        <v>6576.7559999999994</v>
      </c>
      <c r="C72" s="77">
        <f>C70*0.204</f>
        <v>11046.395999999999</v>
      </c>
      <c r="D72" s="77">
        <f>D70*0.204</f>
        <v>7139.9999999999991</v>
      </c>
      <c r="E72" s="77">
        <f>E70*0.204</f>
        <v>7519.44</v>
      </c>
      <c r="F72" s="77">
        <f>F70*0.204</f>
        <v>0</v>
      </c>
      <c r="G72" s="51">
        <f t="shared" si="15"/>
        <v>32282.591999999997</v>
      </c>
      <c r="I72" s="51">
        <f>SUM(B72:F72)</f>
        <v>32282.591999999997</v>
      </c>
      <c r="J72" s="116"/>
      <c r="M72" s="63" t="s">
        <v>126</v>
      </c>
      <c r="Q72" s="64" t="s">
        <v>15</v>
      </c>
      <c r="S72" s="64" t="s">
        <v>15</v>
      </c>
    </row>
    <row r="73" spans="1:22" s="51" customFormat="1" x14ac:dyDescent="0.3">
      <c r="A73" s="78" t="s">
        <v>124</v>
      </c>
      <c r="B73" s="77">
        <v>11000</v>
      </c>
      <c r="C73" s="77">
        <v>13000</v>
      </c>
      <c r="D73" s="77">
        <v>0</v>
      </c>
      <c r="E73" s="77">
        <v>8280</v>
      </c>
      <c r="F73" s="77">
        <f>'[5]18-19'!F73*1.1</f>
        <v>0</v>
      </c>
      <c r="G73" s="58">
        <f t="shared" si="15"/>
        <v>32280</v>
      </c>
      <c r="I73" s="51">
        <f>SUM(B73:F73)</f>
        <v>32280</v>
      </c>
      <c r="J73" s="116"/>
      <c r="M73" s="78" t="s">
        <v>1</v>
      </c>
      <c r="N73" s="78">
        <v>32239</v>
      </c>
      <c r="O73" s="78">
        <v>54149</v>
      </c>
      <c r="P73" s="78">
        <v>59690</v>
      </c>
      <c r="Q73" s="78">
        <v>38000</v>
      </c>
      <c r="R73" s="78">
        <f>'[4]18-19'!R72*1.03</f>
        <v>0</v>
      </c>
      <c r="S73" s="51">
        <f t="shared" ref="S73:S82" si="17">SUM(N73:R73)</f>
        <v>184078</v>
      </c>
    </row>
    <row r="74" spans="1:22" s="51" customFormat="1" x14ac:dyDescent="0.3">
      <c r="A74" s="78" t="s">
        <v>2</v>
      </c>
      <c r="B74" s="77">
        <v>25000</v>
      </c>
      <c r="C74" s="77">
        <v>10350</v>
      </c>
      <c r="D74" s="77">
        <v>12300</v>
      </c>
      <c r="E74" s="77">
        <v>3000</v>
      </c>
      <c r="F74" s="77">
        <v>11900</v>
      </c>
      <c r="G74" s="58">
        <f t="shared" si="15"/>
        <v>62550</v>
      </c>
      <c r="J74" s="116"/>
      <c r="M74" s="78" t="s">
        <v>122</v>
      </c>
      <c r="N74" s="82">
        <f>N73*0.0145</f>
        <v>467.46550000000002</v>
      </c>
      <c r="O74" s="82">
        <f>O73*0.0145</f>
        <v>785.16050000000007</v>
      </c>
      <c r="P74" s="82">
        <f>P73*0.0145</f>
        <v>865.505</v>
      </c>
      <c r="Q74" s="82">
        <f>Q73*0.0145</f>
        <v>551</v>
      </c>
      <c r="R74" s="82">
        <f>R73*0.0145</f>
        <v>0</v>
      </c>
      <c r="S74" s="51">
        <f t="shared" si="17"/>
        <v>2669.1310000000003</v>
      </c>
    </row>
    <row r="75" spans="1:22" s="51" customFormat="1" ht="16.5" customHeight="1" x14ac:dyDescent="0.3">
      <c r="A75" s="78" t="s">
        <v>597</v>
      </c>
      <c r="B75" s="77">
        <v>8466</v>
      </c>
      <c r="C75" s="77">
        <v>15910</v>
      </c>
      <c r="D75" s="77">
        <f>10516+1000+5000</f>
        <v>16516</v>
      </c>
      <c r="E75" s="77">
        <f>1000+4000</f>
        <v>5000</v>
      </c>
      <c r="F75" s="77"/>
      <c r="G75" s="58">
        <f t="shared" si="15"/>
        <v>45892</v>
      </c>
      <c r="J75" s="116"/>
      <c r="M75" s="78" t="s">
        <v>123</v>
      </c>
      <c r="N75" s="77">
        <f>N73*0.204</f>
        <v>6576.7559999999994</v>
      </c>
      <c r="O75" s="77">
        <f>O73*0.204</f>
        <v>11046.395999999999</v>
      </c>
      <c r="P75" s="77">
        <f>P73*0.204</f>
        <v>12176.759999999998</v>
      </c>
      <c r="Q75" s="77">
        <f>Q73*0.204</f>
        <v>7751.9999999999991</v>
      </c>
      <c r="R75" s="77">
        <f>R73*0.204</f>
        <v>0</v>
      </c>
      <c r="S75" s="51">
        <f t="shared" si="17"/>
        <v>37551.911999999997</v>
      </c>
    </row>
    <row r="76" spans="1:22" s="51" customFormat="1" ht="15" customHeight="1" x14ac:dyDescent="0.3">
      <c r="A76" s="78" t="s">
        <v>86</v>
      </c>
      <c r="B76" s="77">
        <v>3850</v>
      </c>
      <c r="C76" s="77">
        <v>3075</v>
      </c>
      <c r="D76" s="76"/>
      <c r="E76" s="76"/>
      <c r="F76" s="77"/>
      <c r="G76" s="51">
        <f>SUM(B76:F76)</f>
        <v>6925</v>
      </c>
      <c r="J76" s="116"/>
      <c r="M76" s="78" t="s">
        <v>685</v>
      </c>
      <c r="N76" s="82">
        <f>N73*0.0125</f>
        <v>402.98750000000001</v>
      </c>
      <c r="O76" s="82">
        <f>O73*0.0125</f>
        <v>676.86250000000007</v>
      </c>
      <c r="P76" s="82">
        <f>P73*0.0125</f>
        <v>746.125</v>
      </c>
      <c r="Q76" s="82">
        <f>Q73*0.0125</f>
        <v>475</v>
      </c>
      <c r="R76" s="82">
        <f>R73*0.0125</f>
        <v>0</v>
      </c>
      <c r="S76" s="51">
        <f t="shared" si="17"/>
        <v>2300.9750000000004</v>
      </c>
      <c r="T76" s="51" t="s">
        <v>684</v>
      </c>
    </row>
    <row r="77" spans="1:22" s="51" customFormat="1" ht="12.75" customHeight="1" x14ac:dyDescent="0.3">
      <c r="A77" s="78" t="s">
        <v>38</v>
      </c>
      <c r="B77" s="77">
        <v>10500</v>
      </c>
      <c r="C77" s="77">
        <v>14000</v>
      </c>
      <c r="D77" s="77">
        <v>15000</v>
      </c>
      <c r="E77" s="77">
        <v>10500</v>
      </c>
      <c r="F77" s="77">
        <v>9000</v>
      </c>
      <c r="G77" s="58">
        <f t="shared" si="15"/>
        <v>59000</v>
      </c>
      <c r="I77" s="58"/>
      <c r="J77" s="116"/>
      <c r="M77" s="78" t="s">
        <v>124</v>
      </c>
      <c r="N77" s="77">
        <v>9636</v>
      </c>
      <c r="O77" s="77">
        <v>11563</v>
      </c>
      <c r="P77" s="77">
        <v>7709</v>
      </c>
      <c r="Q77" s="77">
        <v>7709</v>
      </c>
      <c r="R77" s="77">
        <f>'[4]18-19'!R75*1.1</f>
        <v>0</v>
      </c>
      <c r="S77" s="58">
        <f t="shared" si="17"/>
        <v>36617</v>
      </c>
    </row>
    <row r="78" spans="1:22" s="51" customFormat="1" x14ac:dyDescent="0.3">
      <c r="A78" s="78" t="s">
        <v>594</v>
      </c>
      <c r="B78" s="81">
        <v>18000</v>
      </c>
      <c r="C78" s="81">
        <v>2000</v>
      </c>
      <c r="D78" s="81">
        <v>0</v>
      </c>
      <c r="E78" s="81">
        <v>0</v>
      </c>
      <c r="F78" s="81">
        <v>0</v>
      </c>
      <c r="G78" s="63">
        <f t="shared" si="15"/>
        <v>20000</v>
      </c>
      <c r="J78" s="116"/>
      <c r="M78" s="78" t="s">
        <v>2</v>
      </c>
      <c r="N78" s="77">
        <v>20292</v>
      </c>
      <c r="O78" s="77">
        <f>11042+5000+3200+1500-1700</f>
        <v>19042</v>
      </c>
      <c r="P78" s="77">
        <v>5000</v>
      </c>
      <c r="Q78" s="77">
        <v>5000</v>
      </c>
      <c r="R78" s="77">
        <v>11900</v>
      </c>
      <c r="S78" s="58">
        <f t="shared" si="17"/>
        <v>61234</v>
      </c>
    </row>
    <row r="79" spans="1:22" s="51" customFormat="1" ht="14.25" customHeight="1" x14ac:dyDescent="0.3">
      <c r="A79" s="51" t="s">
        <v>704</v>
      </c>
      <c r="B79" s="51">
        <f t="shared" ref="B79:G79" si="18">SUM(B70:B78)</f>
        <v>116099.2215</v>
      </c>
      <c r="C79" s="51">
        <f t="shared" si="18"/>
        <v>124315.55649999999</v>
      </c>
      <c r="D79" s="51">
        <f t="shared" si="18"/>
        <v>86463.5</v>
      </c>
      <c r="E79" s="51">
        <f t="shared" si="18"/>
        <v>71693.91</v>
      </c>
      <c r="F79" s="51">
        <f t="shared" si="18"/>
        <v>20900</v>
      </c>
      <c r="G79" s="51">
        <f t="shared" si="18"/>
        <v>419472.18799999997</v>
      </c>
      <c r="J79" s="116"/>
      <c r="M79" s="78" t="s">
        <v>597</v>
      </c>
      <c r="N79" s="77">
        <v>11000</v>
      </c>
      <c r="O79" s="77">
        <f>9000-200+2110</f>
        <v>10910</v>
      </c>
      <c r="P79" s="77">
        <v>20000</v>
      </c>
      <c r="Q79" s="77">
        <f>10500+2700</f>
        <v>13200</v>
      </c>
      <c r="R79" s="77"/>
      <c r="S79" s="58">
        <f t="shared" si="17"/>
        <v>55110</v>
      </c>
      <c r="T79" s="51" t="s">
        <v>689</v>
      </c>
    </row>
    <row r="80" spans="1:22" s="51" customFormat="1" ht="17.25" customHeight="1" x14ac:dyDescent="0.3">
      <c r="A80" s="60"/>
      <c r="G80" s="60"/>
      <c r="I80" s="51">
        <f>SUM(I70:I73)</f>
        <v>225105.18799999999</v>
      </c>
      <c r="J80" s="116"/>
      <c r="M80" s="78" t="s">
        <v>86</v>
      </c>
      <c r="N80" s="77">
        <v>3850</v>
      </c>
      <c r="O80" s="77">
        <v>3075</v>
      </c>
      <c r="P80" s="76"/>
      <c r="Q80" s="76"/>
      <c r="R80" s="77"/>
      <c r="S80" s="51">
        <f t="shared" si="17"/>
        <v>6925</v>
      </c>
      <c r="U80" s="58"/>
    </row>
    <row r="81" spans="1:21" s="51" customFormat="1" ht="13.5" customHeight="1" x14ac:dyDescent="0.3">
      <c r="A81" s="128" t="s">
        <v>218</v>
      </c>
      <c r="J81" s="116"/>
      <c r="M81" s="78" t="s">
        <v>38</v>
      </c>
      <c r="N81" s="77">
        <v>9993</v>
      </c>
      <c r="O81" s="77">
        <v>13221</v>
      </c>
      <c r="P81" s="77">
        <f>13922+541</f>
        <v>14463</v>
      </c>
      <c r="Q81" s="77">
        <v>10159</v>
      </c>
      <c r="R81" s="77">
        <v>8346</v>
      </c>
      <c r="S81" s="58">
        <f t="shared" si="17"/>
        <v>56182</v>
      </c>
    </row>
    <row r="82" spans="1:21" s="549" customFormat="1" x14ac:dyDescent="0.3">
      <c r="A82" s="549" t="s">
        <v>1</v>
      </c>
      <c r="B82" s="559">
        <f>$G$82/5</f>
        <v>69825.8</v>
      </c>
      <c r="C82" s="559">
        <f>$G$82/5</f>
        <v>69825.8</v>
      </c>
      <c r="D82" s="559">
        <f>$G$82/5</f>
        <v>69825.8</v>
      </c>
      <c r="E82" s="559">
        <f>$G$82/5</f>
        <v>69825.8</v>
      </c>
      <c r="F82" s="559">
        <f>$G$82/5</f>
        <v>69825.8</v>
      </c>
      <c r="G82" s="549">
        <v>349129</v>
      </c>
      <c r="J82" s="551"/>
      <c r="M82" s="549" t="s">
        <v>594</v>
      </c>
      <c r="N82" s="550">
        <v>10000</v>
      </c>
      <c r="O82" s="550">
        <v>2000</v>
      </c>
      <c r="P82" s="550">
        <v>0</v>
      </c>
      <c r="Q82" s="550">
        <v>0</v>
      </c>
      <c r="R82" s="550">
        <v>0</v>
      </c>
      <c r="S82" s="557">
        <f t="shared" si="17"/>
        <v>12000</v>
      </c>
    </row>
    <row r="83" spans="1:21" s="549" customFormat="1" x14ac:dyDescent="0.3">
      <c r="A83" s="549" t="s">
        <v>121</v>
      </c>
      <c r="B83" s="549">
        <v>2000</v>
      </c>
      <c r="C83" s="549">
        <v>2000</v>
      </c>
      <c r="D83" s="549">
        <v>2000</v>
      </c>
      <c r="E83" s="549">
        <v>2000</v>
      </c>
      <c r="F83" s="549">
        <v>2000</v>
      </c>
      <c r="G83" s="549">
        <f t="shared" ref="G83:G93" si="19">SUM(B83:F83)</f>
        <v>10000</v>
      </c>
      <c r="I83" s="549">
        <v>232000</v>
      </c>
      <c r="J83" s="551"/>
      <c r="M83" s="549" t="s">
        <v>126</v>
      </c>
      <c r="N83" s="549">
        <f t="shared" ref="N83:S83" si="20">SUM(N73:N82)</f>
        <v>104457.209</v>
      </c>
      <c r="O83" s="549">
        <f t="shared" si="20"/>
        <v>126468.41899999999</v>
      </c>
      <c r="P83" s="549">
        <f t="shared" si="20"/>
        <v>120650.39</v>
      </c>
      <c r="Q83" s="549">
        <f t="shared" si="20"/>
        <v>82846</v>
      </c>
      <c r="R83" s="549">
        <f t="shared" si="20"/>
        <v>20246</v>
      </c>
      <c r="S83" s="549">
        <f t="shared" si="20"/>
        <v>454668.01800000004</v>
      </c>
    </row>
    <row r="84" spans="1:21" s="549" customFormat="1" x14ac:dyDescent="0.3">
      <c r="A84" s="549" t="s">
        <v>122</v>
      </c>
      <c r="B84" s="549">
        <f>(B82+B83)*0.0145</f>
        <v>1041.4741000000001</v>
      </c>
      <c r="C84" s="549">
        <f>(C82+C83)*0.0145</f>
        <v>1041.4741000000001</v>
      </c>
      <c r="D84" s="549">
        <f>(D82+D83)*0.0145</f>
        <v>1041.4741000000001</v>
      </c>
      <c r="E84" s="549">
        <f>(E82+E83)*0.0145</f>
        <v>1041.4741000000001</v>
      </c>
      <c r="F84" s="549">
        <f>(F82+F83)*0.0145</f>
        <v>1041.4741000000001</v>
      </c>
      <c r="G84" s="549">
        <f t="shared" si="19"/>
        <v>5207.3705000000009</v>
      </c>
      <c r="I84" s="549">
        <v>10000</v>
      </c>
      <c r="J84" s="551"/>
    </row>
    <row r="85" spans="1:21" s="549" customFormat="1" x14ac:dyDescent="0.3">
      <c r="A85" s="549" t="s">
        <v>123</v>
      </c>
      <c r="B85" s="549">
        <f>B82*0.204</f>
        <v>14244.4632</v>
      </c>
      <c r="C85" s="549">
        <f>C82*0.204</f>
        <v>14244.4632</v>
      </c>
      <c r="D85" s="549">
        <f>D82*0.204</f>
        <v>14244.4632</v>
      </c>
      <c r="E85" s="549">
        <f>E82*0.204</f>
        <v>14244.4632</v>
      </c>
      <c r="F85" s="549">
        <f>F82*0.204</f>
        <v>14244.4632</v>
      </c>
      <c r="G85" s="549">
        <f t="shared" si="19"/>
        <v>71222.316000000006</v>
      </c>
      <c r="I85" s="549">
        <v>3400</v>
      </c>
      <c r="J85" s="551"/>
      <c r="M85" s="557" t="s">
        <v>218</v>
      </c>
    </row>
    <row r="86" spans="1:21" s="549" customFormat="1" x14ac:dyDescent="0.3">
      <c r="A86" s="549" t="s">
        <v>124</v>
      </c>
      <c r="B86" s="559">
        <f>$G$86/5</f>
        <v>7170.4</v>
      </c>
      <c r="C86" s="559">
        <f>$G$86/5</f>
        <v>7170.4</v>
      </c>
      <c r="D86" s="559">
        <f>$G$86/5</f>
        <v>7170.4</v>
      </c>
      <c r="E86" s="559">
        <f>$G$86/5</f>
        <v>7170.4</v>
      </c>
      <c r="F86" s="559">
        <f>$G$86/5</f>
        <v>7170.4</v>
      </c>
      <c r="G86" s="549">
        <v>35852</v>
      </c>
      <c r="I86" s="549">
        <v>46000</v>
      </c>
      <c r="J86" s="551"/>
      <c r="M86" s="549" t="s">
        <v>1</v>
      </c>
      <c r="N86" s="549">
        <v>65060</v>
      </c>
      <c r="O86" s="549">
        <v>65060</v>
      </c>
      <c r="P86" s="549">
        <v>65060</v>
      </c>
      <c r="Q86" s="549">
        <v>65060</v>
      </c>
      <c r="R86" s="549">
        <v>65060</v>
      </c>
      <c r="S86" s="549">
        <v>325300</v>
      </c>
    </row>
    <row r="87" spans="1:21" s="549" customFormat="1" x14ac:dyDescent="0.3">
      <c r="A87" s="549" t="s">
        <v>470</v>
      </c>
      <c r="B87" s="549">
        <v>12000</v>
      </c>
      <c r="C87" s="549">
        <v>12000</v>
      </c>
      <c r="D87" s="549">
        <v>12000</v>
      </c>
      <c r="E87" s="549">
        <v>12000</v>
      </c>
      <c r="F87" s="549">
        <v>12000</v>
      </c>
      <c r="G87" s="549">
        <f t="shared" si="19"/>
        <v>60000</v>
      </c>
      <c r="I87" s="549">
        <v>32500</v>
      </c>
      <c r="J87" s="551"/>
      <c r="M87" s="549" t="s">
        <v>121</v>
      </c>
      <c r="N87" s="549">
        <v>2000</v>
      </c>
      <c r="O87" s="549">
        <v>2000</v>
      </c>
      <c r="P87" s="549">
        <v>2000</v>
      </c>
      <c r="Q87" s="549">
        <v>2000</v>
      </c>
      <c r="R87" s="549">
        <v>2000</v>
      </c>
      <c r="S87" s="549">
        <f>SUM(N87:R87)</f>
        <v>10000</v>
      </c>
    </row>
    <row r="88" spans="1:21" s="549" customFormat="1" x14ac:dyDescent="0.3">
      <c r="A88" s="549" t="s">
        <v>471</v>
      </c>
      <c r="B88" s="549">
        <v>3000</v>
      </c>
      <c r="C88" s="549">
        <v>3000</v>
      </c>
      <c r="D88" s="549">
        <v>3000</v>
      </c>
      <c r="E88" s="549">
        <v>3000</v>
      </c>
      <c r="F88" s="549">
        <v>3000</v>
      </c>
      <c r="G88" s="549">
        <f t="shared" si="19"/>
        <v>15000</v>
      </c>
      <c r="H88" s="556"/>
      <c r="I88" s="556">
        <v>40000</v>
      </c>
      <c r="J88" s="551">
        <f>+ES!N60+MS!N65+JICA!N65+HS!N65+PTEC!N52</f>
        <v>12093.82</v>
      </c>
      <c r="M88" s="549" t="s">
        <v>122</v>
      </c>
      <c r="N88" s="549">
        <f>S88/5</f>
        <v>980</v>
      </c>
      <c r="O88" s="549">
        <f>S88/5</f>
        <v>980</v>
      </c>
      <c r="P88" s="549">
        <f>S88/5</f>
        <v>980</v>
      </c>
      <c r="Q88" s="549">
        <f>S88/5</f>
        <v>980</v>
      </c>
      <c r="R88" s="549">
        <f>S88/5</f>
        <v>980</v>
      </c>
      <c r="S88" s="549">
        <v>4900</v>
      </c>
    </row>
    <row r="89" spans="1:21" s="549" customFormat="1" x14ac:dyDescent="0.3">
      <c r="A89" s="549" t="s">
        <v>414</v>
      </c>
      <c r="B89" s="549">
        <v>5000</v>
      </c>
      <c r="C89" s="549">
        <v>5000</v>
      </c>
      <c r="D89" s="549">
        <v>5000</v>
      </c>
      <c r="E89" s="549">
        <v>5000</v>
      </c>
      <c r="F89" s="549">
        <v>2000</v>
      </c>
      <c r="G89" s="549">
        <f t="shared" si="19"/>
        <v>22000</v>
      </c>
      <c r="I89" s="556">
        <v>15000</v>
      </c>
      <c r="J89" s="551"/>
      <c r="M89" s="549" t="s">
        <v>123</v>
      </c>
      <c r="N89" s="549">
        <f>S89/5</f>
        <v>13272.2</v>
      </c>
      <c r="O89" s="549">
        <f>S89/5</f>
        <v>13272.2</v>
      </c>
      <c r="P89" s="549">
        <f>S89/5</f>
        <v>13272.2</v>
      </c>
      <c r="Q89" s="549">
        <f>S89/5</f>
        <v>13272.2</v>
      </c>
      <c r="R89" s="549">
        <f>S89/5</f>
        <v>13272.2</v>
      </c>
      <c r="S89" s="549">
        <v>66361</v>
      </c>
    </row>
    <row r="90" spans="1:21" s="549" customFormat="1" x14ac:dyDescent="0.3">
      <c r="A90" s="549" t="s">
        <v>42</v>
      </c>
      <c r="B90" s="549">
        <v>8000</v>
      </c>
      <c r="C90" s="549">
        <v>8000</v>
      </c>
      <c r="D90" s="549">
        <v>8000</v>
      </c>
      <c r="E90" s="549">
        <v>8000</v>
      </c>
      <c r="F90" s="549">
        <v>7000</v>
      </c>
      <c r="G90" s="549">
        <f t="shared" si="19"/>
        <v>39000</v>
      </c>
      <c r="I90" s="556">
        <v>5000</v>
      </c>
      <c r="J90" s="551"/>
      <c r="M90" s="549" t="s">
        <v>685</v>
      </c>
      <c r="N90" s="558">
        <f>N86*0.0125</f>
        <v>813.25</v>
      </c>
      <c r="O90" s="558">
        <f>O86*0.0125</f>
        <v>813.25</v>
      </c>
      <c r="P90" s="558">
        <f>P86*0.0125</f>
        <v>813.25</v>
      </c>
      <c r="Q90" s="558">
        <f>Q86*0.0125</f>
        <v>813.25</v>
      </c>
      <c r="R90" s="558">
        <f>R86*0.0125</f>
        <v>813.25</v>
      </c>
      <c r="S90" s="549">
        <f>SUM(N90:R90)</f>
        <v>4066.25</v>
      </c>
      <c r="T90" s="549" t="s">
        <v>684</v>
      </c>
    </row>
    <row r="91" spans="1:21" s="549" customFormat="1" x14ac:dyDescent="0.3">
      <c r="A91" s="549" t="s">
        <v>472</v>
      </c>
      <c r="B91" s="549">
        <v>4800</v>
      </c>
      <c r="C91" s="549">
        <v>4800</v>
      </c>
      <c r="D91" s="549">
        <v>4800</v>
      </c>
      <c r="E91" s="549">
        <v>4800</v>
      </c>
      <c r="F91" s="549">
        <v>2000</v>
      </c>
      <c r="G91" s="549">
        <f t="shared" si="19"/>
        <v>21200</v>
      </c>
      <c r="I91" s="556">
        <v>45000</v>
      </c>
      <c r="J91" s="551"/>
      <c r="M91" s="549" t="s">
        <v>124</v>
      </c>
      <c r="N91" s="549">
        <f>S91/5</f>
        <v>7710</v>
      </c>
      <c r="O91" s="549">
        <f>S91/5</f>
        <v>7710</v>
      </c>
      <c r="P91" s="549">
        <f>S91/5</f>
        <v>7710</v>
      </c>
      <c r="Q91" s="549">
        <f>S91/5</f>
        <v>7710</v>
      </c>
      <c r="R91" s="549">
        <f>S91/5</f>
        <v>7710</v>
      </c>
      <c r="S91" s="549">
        <v>38550</v>
      </c>
    </row>
    <row r="92" spans="1:21" s="549" customFormat="1" x14ac:dyDescent="0.3">
      <c r="A92" s="549" t="s">
        <v>475</v>
      </c>
      <c r="B92" s="549">
        <v>10000</v>
      </c>
      <c r="C92" s="549">
        <v>10000</v>
      </c>
      <c r="D92" s="549">
        <v>10000</v>
      </c>
      <c r="E92" s="549">
        <v>10000</v>
      </c>
      <c r="F92" s="549">
        <v>5000</v>
      </c>
      <c r="G92" s="549">
        <f t="shared" si="19"/>
        <v>45000</v>
      </c>
      <c r="I92" s="556">
        <v>25000</v>
      </c>
      <c r="J92" s="551"/>
      <c r="M92" s="549" t="s">
        <v>470</v>
      </c>
      <c r="N92" s="549">
        <v>12000</v>
      </c>
      <c r="O92" s="549">
        <v>12000</v>
      </c>
      <c r="P92" s="549">
        <v>12000</v>
      </c>
      <c r="Q92" s="549">
        <v>12000</v>
      </c>
      <c r="R92" s="549">
        <v>10000</v>
      </c>
      <c r="S92" s="549">
        <f t="shared" ref="S92:S98" si="21">SUM(N92:R92)</f>
        <v>58000</v>
      </c>
      <c r="T92" s="556"/>
      <c r="U92" s="556"/>
    </row>
    <row r="93" spans="1:21" s="549" customFormat="1" x14ac:dyDescent="0.3">
      <c r="A93" s="549" t="s">
        <v>474</v>
      </c>
      <c r="B93" s="557">
        <v>113947</v>
      </c>
      <c r="C93" s="557">
        <v>119309</v>
      </c>
      <c r="D93" s="557">
        <v>133464</v>
      </c>
      <c r="E93" s="557">
        <v>109560</v>
      </c>
      <c r="F93" s="557">
        <v>79229</v>
      </c>
      <c r="G93" s="557">
        <f t="shared" si="19"/>
        <v>555509</v>
      </c>
      <c r="I93" s="556"/>
      <c r="J93" s="551"/>
      <c r="M93" s="549" t="s">
        <v>471</v>
      </c>
      <c r="N93" s="549">
        <v>3000</v>
      </c>
      <c r="O93" s="549">
        <v>3000</v>
      </c>
      <c r="P93" s="549">
        <v>3000</v>
      </c>
      <c r="Q93" s="549">
        <v>3000</v>
      </c>
      <c r="R93" s="549">
        <v>3000</v>
      </c>
      <c r="S93" s="549">
        <f t="shared" si="21"/>
        <v>15000</v>
      </c>
      <c r="U93" s="556"/>
    </row>
    <row r="94" spans="1:21" s="549" customFormat="1" x14ac:dyDescent="0.3">
      <c r="A94" s="549" t="s">
        <v>704</v>
      </c>
      <c r="B94" s="549">
        <f t="shared" ref="B94:G94" si="22">SUM(B82:B93)</f>
        <v>251029.1373</v>
      </c>
      <c r="C94" s="549">
        <f t="shared" si="22"/>
        <v>256391.1373</v>
      </c>
      <c r="D94" s="549">
        <f t="shared" si="22"/>
        <v>270546.1373</v>
      </c>
      <c r="E94" s="549">
        <f t="shared" si="22"/>
        <v>246642.1373</v>
      </c>
      <c r="F94" s="549">
        <f t="shared" si="22"/>
        <v>204511.1373</v>
      </c>
      <c r="G94" s="549">
        <f t="shared" si="22"/>
        <v>1229119.6865000001</v>
      </c>
      <c r="I94" s="556"/>
      <c r="J94" s="551"/>
      <c r="M94" s="549" t="s">
        <v>414</v>
      </c>
      <c r="N94" s="549">
        <v>5000</v>
      </c>
      <c r="O94" s="549">
        <v>5000</v>
      </c>
      <c r="P94" s="549">
        <v>5000</v>
      </c>
      <c r="Q94" s="549">
        <v>5000</v>
      </c>
      <c r="R94" s="549">
        <v>2000</v>
      </c>
      <c r="S94" s="549">
        <f t="shared" si="21"/>
        <v>22000</v>
      </c>
      <c r="U94" s="556"/>
    </row>
    <row r="95" spans="1:21" s="51" customFormat="1" ht="15.75" customHeight="1" x14ac:dyDescent="0.3">
      <c r="A95" s="60"/>
      <c r="G95" s="60"/>
      <c r="I95" s="51">
        <f>SUM(I83:I93)</f>
        <v>453900</v>
      </c>
      <c r="J95" s="116"/>
      <c r="M95" s="78" t="s">
        <v>42</v>
      </c>
      <c r="N95" s="51">
        <v>8000</v>
      </c>
      <c r="O95" s="51">
        <v>8000</v>
      </c>
      <c r="P95" s="51">
        <v>8000</v>
      </c>
      <c r="Q95" s="51">
        <v>8000</v>
      </c>
      <c r="R95" s="51">
        <v>7000</v>
      </c>
      <c r="S95" s="51">
        <f t="shared" si="21"/>
        <v>39000</v>
      </c>
      <c r="U95" s="58"/>
    </row>
    <row r="96" spans="1:21" s="51" customFormat="1" x14ac:dyDescent="0.3">
      <c r="A96" s="128" t="s">
        <v>20</v>
      </c>
      <c r="J96" s="116"/>
      <c r="M96" s="78" t="s">
        <v>472</v>
      </c>
      <c r="N96" s="51">
        <v>4800</v>
      </c>
      <c r="O96" s="51">
        <v>4800</v>
      </c>
      <c r="P96" s="51">
        <v>4800</v>
      </c>
      <c r="Q96" s="51">
        <v>4800</v>
      </c>
      <c r="R96" s="51">
        <v>2000</v>
      </c>
      <c r="S96" s="51">
        <f t="shared" si="21"/>
        <v>21200</v>
      </c>
      <c r="U96" s="58"/>
    </row>
    <row r="97" spans="1:21" s="51" customFormat="1" x14ac:dyDescent="0.3">
      <c r="A97" s="78" t="s">
        <v>1</v>
      </c>
      <c r="B97" s="78">
        <v>195702</v>
      </c>
      <c r="C97" s="78">
        <v>161330</v>
      </c>
      <c r="D97" s="78">
        <v>184114</v>
      </c>
      <c r="E97" s="78">
        <v>166172</v>
      </c>
      <c r="F97" s="78">
        <v>140588</v>
      </c>
      <c r="G97" s="51">
        <f>SUM(B97:F97)</f>
        <v>847906</v>
      </c>
      <c r="J97" s="116"/>
      <c r="M97" s="78" t="s">
        <v>475</v>
      </c>
      <c r="N97" s="51">
        <v>10000</v>
      </c>
      <c r="O97" s="51">
        <v>10000</v>
      </c>
      <c r="P97" s="51">
        <v>10000</v>
      </c>
      <c r="Q97" s="51">
        <v>10000</v>
      </c>
      <c r="R97" s="51">
        <v>5000</v>
      </c>
      <c r="S97" s="51">
        <f t="shared" si="21"/>
        <v>45000</v>
      </c>
      <c r="U97" s="58"/>
    </row>
    <row r="98" spans="1:21" s="51" customFormat="1" x14ac:dyDescent="0.3">
      <c r="A98" s="78" t="s">
        <v>271</v>
      </c>
      <c r="B98" s="78">
        <v>20000</v>
      </c>
      <c r="C98" s="78">
        <v>22000</v>
      </c>
      <c r="D98" s="78">
        <v>25000</v>
      </c>
      <c r="E98" s="78">
        <v>15000</v>
      </c>
      <c r="F98" s="78">
        <v>10000</v>
      </c>
      <c r="G98" s="51">
        <f t="shared" ref="G98:G105" si="23">SUM(B98:F98)</f>
        <v>92000</v>
      </c>
      <c r="I98" s="51">
        <f t="shared" ref="I98:I103" si="24">SUM(B97:F97)</f>
        <v>847906</v>
      </c>
      <c r="J98" s="116"/>
      <c r="M98" s="78" t="s">
        <v>474</v>
      </c>
      <c r="N98" s="63">
        <f>0.03*N6</f>
        <v>108138.9</v>
      </c>
      <c r="O98" s="63">
        <f>0.03*O6</f>
        <v>113227.8</v>
      </c>
      <c r="P98" s="63">
        <f>0.03*P6</f>
        <v>121418.81999999999</v>
      </c>
      <c r="Q98" s="63">
        <f>0.03*Q6</f>
        <v>77015.16</v>
      </c>
      <c r="R98" s="63">
        <f>0.03*R6</f>
        <v>78067.77</v>
      </c>
      <c r="S98" s="63">
        <f t="shared" si="21"/>
        <v>497868.45000000007</v>
      </c>
      <c r="U98" s="58"/>
    </row>
    <row r="99" spans="1:21" s="51" customFormat="1" x14ac:dyDescent="0.3">
      <c r="A99" s="78" t="s">
        <v>122</v>
      </c>
      <c r="B99" s="51">
        <f>(B97+B98)*0.0145</f>
        <v>3127.6790000000001</v>
      </c>
      <c r="C99" s="51">
        <f>(C97+C98)*0.0145</f>
        <v>2658.2850000000003</v>
      </c>
      <c r="D99" s="51">
        <f>(D97+D98)*0.0145</f>
        <v>3032.1530000000002</v>
      </c>
      <c r="E99" s="51">
        <f>(E97+E98)*0.0145</f>
        <v>2626.9940000000001</v>
      </c>
      <c r="F99" s="51">
        <f>(F97+F98)*0.0145</f>
        <v>2183.5260000000003</v>
      </c>
      <c r="G99" s="51">
        <f t="shared" si="23"/>
        <v>13628.637000000001</v>
      </c>
      <c r="I99" s="51">
        <f t="shared" si="24"/>
        <v>92000</v>
      </c>
      <c r="J99" s="116"/>
      <c r="M99" s="51" t="s">
        <v>218</v>
      </c>
      <c r="N99" s="51">
        <f t="shared" ref="N99:S99" si="25">SUM(N86:N98)</f>
        <v>240774.35</v>
      </c>
      <c r="O99" s="51">
        <f t="shared" si="25"/>
        <v>245863.25</v>
      </c>
      <c r="P99" s="51">
        <f t="shared" si="25"/>
        <v>254054.27000000002</v>
      </c>
      <c r="Q99" s="51">
        <f t="shared" si="25"/>
        <v>209650.61000000002</v>
      </c>
      <c r="R99" s="51">
        <f t="shared" si="25"/>
        <v>196903.22</v>
      </c>
      <c r="S99" s="51">
        <f t="shared" si="25"/>
        <v>1147245.7000000002</v>
      </c>
    </row>
    <row r="100" spans="1:21" s="51" customFormat="1" x14ac:dyDescent="0.3">
      <c r="A100" s="78" t="s">
        <v>123</v>
      </c>
      <c r="B100" s="51">
        <f>B97*0.204</f>
        <v>39923.207999999999</v>
      </c>
      <c r="C100" s="51">
        <f>C97*0.204</f>
        <v>32911.32</v>
      </c>
      <c r="D100" s="51">
        <f>D97*0.204</f>
        <v>37559.256000000001</v>
      </c>
      <c r="E100" s="51">
        <f>E97*0.204</f>
        <v>33899.087999999996</v>
      </c>
      <c r="F100" s="51">
        <f>F97*0.204</f>
        <v>28679.951999999997</v>
      </c>
      <c r="G100" s="51">
        <f t="shared" si="23"/>
        <v>172972.82399999996</v>
      </c>
      <c r="I100" s="51">
        <f t="shared" si="24"/>
        <v>13628.637000000001</v>
      </c>
      <c r="J100" s="116"/>
    </row>
    <row r="101" spans="1:21" s="51" customFormat="1" x14ac:dyDescent="0.3">
      <c r="A101" s="79" t="s">
        <v>124</v>
      </c>
      <c r="B101" s="77">
        <v>34000</v>
      </c>
      <c r="C101" s="77">
        <v>34000</v>
      </c>
      <c r="D101" s="77">
        <v>38000</v>
      </c>
      <c r="E101" s="77">
        <v>34000</v>
      </c>
      <c r="F101" s="77">
        <v>34000</v>
      </c>
      <c r="G101" s="51">
        <f t="shared" si="23"/>
        <v>174000</v>
      </c>
      <c r="I101" s="51">
        <f t="shared" si="24"/>
        <v>172972.82399999996</v>
      </c>
      <c r="J101" s="116"/>
      <c r="M101" s="63" t="s">
        <v>20</v>
      </c>
    </row>
    <row r="102" spans="1:21" s="51" customFormat="1" x14ac:dyDescent="0.3">
      <c r="A102" s="79" t="s">
        <v>43</v>
      </c>
      <c r="B102" s="77">
        <v>11000</v>
      </c>
      <c r="C102" s="77">
        <v>6500</v>
      </c>
      <c r="D102" s="77">
        <v>6600</v>
      </c>
      <c r="E102" s="77">
        <v>6392</v>
      </c>
      <c r="F102" s="77">
        <v>2500</v>
      </c>
      <c r="G102" s="51">
        <f t="shared" si="23"/>
        <v>32992</v>
      </c>
      <c r="H102" s="58"/>
      <c r="I102" s="58">
        <f t="shared" si="24"/>
        <v>174000</v>
      </c>
      <c r="J102" s="116"/>
      <c r="M102" s="78" t="s">
        <v>1</v>
      </c>
      <c r="N102" s="78">
        <f>212744-18336</f>
        <v>194408</v>
      </c>
      <c r="O102" s="78">
        <v>159674</v>
      </c>
      <c r="P102" s="78">
        <v>184114</v>
      </c>
      <c r="Q102" s="78">
        <v>164516</v>
      </c>
      <c r="R102" s="78">
        <v>161934</v>
      </c>
      <c r="S102" s="51">
        <f t="shared" ref="S102:S111" si="26">SUM(N102:R102)</f>
        <v>864646</v>
      </c>
    </row>
    <row r="103" spans="1:21" s="51" customFormat="1" x14ac:dyDescent="0.3">
      <c r="A103" s="79" t="s">
        <v>476</v>
      </c>
      <c r="B103" s="77">
        <v>7000</v>
      </c>
      <c r="C103" s="77">
        <v>350</v>
      </c>
      <c r="D103" s="77"/>
      <c r="E103" s="77"/>
      <c r="F103" s="77">
        <v>6600</v>
      </c>
      <c r="G103" s="51">
        <f t="shared" si="23"/>
        <v>13950</v>
      </c>
      <c r="H103" s="58"/>
      <c r="I103" s="58">
        <f t="shared" si="24"/>
        <v>32992</v>
      </c>
      <c r="J103" s="116"/>
      <c r="M103" s="78" t="s">
        <v>271</v>
      </c>
      <c r="N103" s="78">
        <v>20000</v>
      </c>
      <c r="O103" s="78">
        <v>22000</v>
      </c>
      <c r="P103" s="78">
        <v>25000</v>
      </c>
      <c r="Q103" s="78">
        <v>15000</v>
      </c>
      <c r="R103" s="78">
        <v>8000</v>
      </c>
      <c r="S103" s="51">
        <f t="shared" si="26"/>
        <v>90000</v>
      </c>
    </row>
    <row r="104" spans="1:21" s="51" customFormat="1" x14ac:dyDescent="0.3">
      <c r="A104" s="79" t="s">
        <v>45</v>
      </c>
      <c r="B104" s="77">
        <v>500</v>
      </c>
      <c r="C104" s="77">
        <v>500</v>
      </c>
      <c r="D104" s="77">
        <v>500</v>
      </c>
      <c r="E104" s="77">
        <v>500</v>
      </c>
      <c r="F104" s="77">
        <v>500</v>
      </c>
      <c r="G104" s="51">
        <f t="shared" si="23"/>
        <v>2500</v>
      </c>
      <c r="H104" s="58"/>
      <c r="I104" s="58"/>
      <c r="J104" s="116"/>
      <c r="M104" s="78" t="s">
        <v>122</v>
      </c>
      <c r="N104" s="51">
        <f>(N102+N103)*0.0145</f>
        <v>3108.9160000000002</v>
      </c>
      <c r="O104" s="51">
        <f>(O102+O103)*0.0145</f>
        <v>2634.2730000000001</v>
      </c>
      <c r="P104" s="51">
        <f>(P102+P103)*0.0145</f>
        <v>3032.1530000000002</v>
      </c>
      <c r="Q104" s="51">
        <f>(Q102+Q103)*0.0145</f>
        <v>2602.982</v>
      </c>
      <c r="R104" s="51">
        <f>(R102+R103)*0.0145</f>
        <v>2464.0430000000001</v>
      </c>
      <c r="S104" s="51">
        <f t="shared" si="26"/>
        <v>13842.367</v>
      </c>
    </row>
    <row r="105" spans="1:21" s="51" customFormat="1" x14ac:dyDescent="0.3">
      <c r="A105" s="79" t="s">
        <v>74</v>
      </c>
      <c r="B105" s="81">
        <v>4000</v>
      </c>
      <c r="C105" s="81"/>
      <c r="D105" s="81"/>
      <c r="E105" s="81"/>
      <c r="F105" s="81">
        <v>2000</v>
      </c>
      <c r="G105" s="63">
        <f t="shared" si="23"/>
        <v>6000</v>
      </c>
      <c r="H105" s="58"/>
      <c r="I105" s="58"/>
      <c r="J105" s="116"/>
      <c r="M105" s="78" t="s">
        <v>123</v>
      </c>
      <c r="N105" s="51">
        <f>N102*0.204</f>
        <v>39659.231999999996</v>
      </c>
      <c r="O105" s="51">
        <f>O102*0.204</f>
        <v>32573.495999999999</v>
      </c>
      <c r="P105" s="51">
        <f>P102*0.204</f>
        <v>37559.256000000001</v>
      </c>
      <c r="Q105" s="51">
        <f>Q102*0.204</f>
        <v>33561.263999999996</v>
      </c>
      <c r="R105" s="51">
        <f>R102*0.204</f>
        <v>33034.536</v>
      </c>
      <c r="S105" s="51">
        <f t="shared" si="26"/>
        <v>176387.78399999999</v>
      </c>
    </row>
    <row r="106" spans="1:21" s="51" customFormat="1" x14ac:dyDescent="0.3">
      <c r="A106" s="51" t="s">
        <v>704</v>
      </c>
      <c r="B106" s="51">
        <f t="shared" ref="B106:G106" si="27">SUM(B97:B105)</f>
        <v>315252.88699999999</v>
      </c>
      <c r="C106" s="51">
        <f t="shared" si="27"/>
        <v>260249.60500000001</v>
      </c>
      <c r="D106" s="51">
        <f t="shared" si="27"/>
        <v>294805.40899999999</v>
      </c>
      <c r="E106" s="51">
        <f t="shared" si="27"/>
        <v>258590.08199999999</v>
      </c>
      <c r="F106" s="51">
        <f t="shared" si="27"/>
        <v>227051.478</v>
      </c>
      <c r="G106" s="51">
        <f t="shared" si="27"/>
        <v>1355949.4609999999</v>
      </c>
      <c r="H106" s="58"/>
      <c r="I106" s="58"/>
      <c r="J106" s="116"/>
      <c r="M106" s="78" t="s">
        <v>685</v>
      </c>
      <c r="N106" s="82">
        <f>N102*0.0125</f>
        <v>2430.1</v>
      </c>
      <c r="O106" s="82">
        <f>O102*0.0125</f>
        <v>1995.9250000000002</v>
      </c>
      <c r="P106" s="82">
        <f>P102*0.0125</f>
        <v>2301.4250000000002</v>
      </c>
      <c r="Q106" s="82">
        <f>Q102*0.0125</f>
        <v>2056.4500000000003</v>
      </c>
      <c r="R106" s="82">
        <f>R102*0.0125</f>
        <v>2024.1750000000002</v>
      </c>
      <c r="S106" s="51">
        <f t="shared" si="26"/>
        <v>10808.075000000001</v>
      </c>
      <c r="T106" s="51" t="s">
        <v>684</v>
      </c>
    </row>
    <row r="107" spans="1:21" s="51" customFormat="1" ht="15.75" customHeight="1" x14ac:dyDescent="0.3">
      <c r="I107" s="51">
        <f>SUM(I98:I103)</f>
        <v>1333499.4609999999</v>
      </c>
      <c r="J107" s="116"/>
      <c r="M107" s="79" t="s">
        <v>124</v>
      </c>
      <c r="N107" s="77">
        <v>38544</v>
      </c>
      <c r="O107" s="77">
        <v>30835</v>
      </c>
      <c r="P107" s="77">
        <v>38544</v>
      </c>
      <c r="Q107" s="77">
        <v>30835</v>
      </c>
      <c r="R107" s="77">
        <v>30835</v>
      </c>
      <c r="S107" s="51">
        <f t="shared" si="26"/>
        <v>169593</v>
      </c>
      <c r="T107" s="58"/>
      <c r="U107" s="58"/>
    </row>
    <row r="108" spans="1:21" s="51" customFormat="1" x14ac:dyDescent="0.3">
      <c r="A108" s="128" t="s">
        <v>131</v>
      </c>
      <c r="J108" s="116"/>
      <c r="M108" s="79" t="s">
        <v>43</v>
      </c>
      <c r="N108" s="77">
        <v>11000</v>
      </c>
      <c r="O108" s="77">
        <v>6500</v>
      </c>
      <c r="P108" s="77">
        <v>6600</v>
      </c>
      <c r="Q108" s="77">
        <v>6392</v>
      </c>
      <c r="R108" s="77">
        <v>3944</v>
      </c>
      <c r="S108" s="51">
        <f t="shared" si="26"/>
        <v>34436</v>
      </c>
      <c r="T108" s="58"/>
      <c r="U108" s="58"/>
    </row>
    <row r="109" spans="1:21" s="549" customFormat="1" x14ac:dyDescent="0.3">
      <c r="A109" s="549" t="s">
        <v>1</v>
      </c>
      <c r="B109" s="549">
        <v>48920</v>
      </c>
      <c r="C109" s="549">
        <v>48920</v>
      </c>
      <c r="D109" s="549">
        <v>48920</v>
      </c>
      <c r="E109" s="549">
        <v>48920</v>
      </c>
      <c r="F109" s="549">
        <v>48920</v>
      </c>
      <c r="G109" s="549">
        <f>SUM(B109:F109)</f>
        <v>244600</v>
      </c>
      <c r="J109" s="551"/>
      <c r="M109" s="556" t="s">
        <v>476</v>
      </c>
      <c r="N109" s="553">
        <f>3000+2000</f>
        <v>5000</v>
      </c>
      <c r="O109" s="553">
        <v>350</v>
      </c>
      <c r="P109" s="553"/>
      <c r="Q109" s="553"/>
      <c r="R109" s="553">
        <v>6600</v>
      </c>
      <c r="S109" s="549">
        <f t="shared" si="26"/>
        <v>11950</v>
      </c>
      <c r="T109" s="556"/>
      <c r="U109" s="556"/>
    </row>
    <row r="110" spans="1:21" s="549" customFormat="1" x14ac:dyDescent="0.3">
      <c r="A110" s="549" t="s">
        <v>213</v>
      </c>
      <c r="B110" s="549">
        <v>5000</v>
      </c>
      <c r="C110" s="549">
        <v>5000</v>
      </c>
      <c r="D110" s="549">
        <v>5000</v>
      </c>
      <c r="E110" s="549">
        <v>5000</v>
      </c>
      <c r="F110" s="549">
        <v>5000</v>
      </c>
      <c r="G110" s="549">
        <f t="shared" ref="G110:G119" si="28">SUM(B110:F110)</f>
        <v>25000</v>
      </c>
      <c r="I110" s="549">
        <v>201800</v>
      </c>
      <c r="J110" s="551"/>
      <c r="M110" s="556" t="s">
        <v>45</v>
      </c>
      <c r="N110" s="553">
        <v>500</v>
      </c>
      <c r="O110" s="553">
        <v>500</v>
      </c>
      <c r="P110" s="553">
        <v>500</v>
      </c>
      <c r="Q110" s="553">
        <v>500</v>
      </c>
      <c r="R110" s="553">
        <v>500</v>
      </c>
      <c r="S110" s="549">
        <f t="shared" si="26"/>
        <v>2500</v>
      </c>
      <c r="T110" s="556"/>
      <c r="U110" s="556"/>
    </row>
    <row r="111" spans="1:21" s="549" customFormat="1" x14ac:dyDescent="0.3">
      <c r="A111" s="549" t="s">
        <v>122</v>
      </c>
      <c r="B111" s="549">
        <v>709</v>
      </c>
      <c r="C111" s="549">
        <v>709</v>
      </c>
      <c r="D111" s="549">
        <v>709</v>
      </c>
      <c r="E111" s="549">
        <v>709</v>
      </c>
      <c r="F111" s="549">
        <v>709</v>
      </c>
      <c r="G111" s="549">
        <f t="shared" si="28"/>
        <v>3545</v>
      </c>
      <c r="I111" s="549">
        <v>10000</v>
      </c>
      <c r="J111" s="551"/>
      <c r="M111" s="556" t="s">
        <v>74</v>
      </c>
      <c r="N111" s="550">
        <v>2000</v>
      </c>
      <c r="O111" s="550"/>
      <c r="P111" s="550"/>
      <c r="Q111" s="550"/>
      <c r="R111" s="550"/>
      <c r="S111" s="557">
        <f t="shared" si="26"/>
        <v>2000</v>
      </c>
      <c r="T111" s="556"/>
      <c r="U111" s="556"/>
    </row>
    <row r="112" spans="1:21" s="549" customFormat="1" x14ac:dyDescent="0.3">
      <c r="A112" s="549" t="s">
        <v>123</v>
      </c>
      <c r="B112" s="549">
        <v>10000</v>
      </c>
      <c r="C112" s="549">
        <v>10000</v>
      </c>
      <c r="D112" s="549">
        <v>10000</v>
      </c>
      <c r="E112" s="549">
        <v>10000</v>
      </c>
      <c r="F112" s="549">
        <v>10000</v>
      </c>
      <c r="G112" s="549">
        <f t="shared" si="28"/>
        <v>50000</v>
      </c>
      <c r="I112" s="549">
        <v>2950</v>
      </c>
      <c r="J112" s="551">
        <v>110</v>
      </c>
      <c r="M112" s="549" t="s">
        <v>543</v>
      </c>
      <c r="N112" s="549">
        <f t="shared" ref="N112:S112" si="29">SUM(N102:N111)</f>
        <v>316650.24800000002</v>
      </c>
      <c r="O112" s="549">
        <f t="shared" si="29"/>
        <v>257062.69399999996</v>
      </c>
      <c r="P112" s="549">
        <f t="shared" si="29"/>
        <v>297650.83399999997</v>
      </c>
      <c r="Q112" s="549">
        <f t="shared" si="29"/>
        <v>255463.696</v>
      </c>
      <c r="R112" s="549">
        <f t="shared" si="29"/>
        <v>249335.75399999999</v>
      </c>
      <c r="S112" s="549">
        <f t="shared" si="29"/>
        <v>1376163.226</v>
      </c>
    </row>
    <row r="113" spans="1:21" s="549" customFormat="1" x14ac:dyDescent="0.3">
      <c r="A113" s="549" t="s">
        <v>124</v>
      </c>
      <c r="B113" s="549">
        <v>7200</v>
      </c>
      <c r="C113" s="549">
        <v>7200</v>
      </c>
      <c r="D113" s="549">
        <v>7200</v>
      </c>
      <c r="E113" s="549">
        <v>7200</v>
      </c>
      <c r="F113" s="549">
        <v>7200</v>
      </c>
      <c r="G113" s="549">
        <f t="shared" si="28"/>
        <v>36000</v>
      </c>
      <c r="I113" s="549">
        <v>40150</v>
      </c>
      <c r="J113" s="551">
        <v>1600</v>
      </c>
    </row>
    <row r="114" spans="1:21" s="549" customFormat="1" x14ac:dyDescent="0.3">
      <c r="A114" s="549" t="s">
        <v>0</v>
      </c>
      <c r="B114" s="549">
        <v>2000</v>
      </c>
      <c r="C114" s="549">
        <v>2000</v>
      </c>
      <c r="D114" s="549">
        <v>2000</v>
      </c>
      <c r="E114" s="549">
        <v>2000</v>
      </c>
      <c r="F114" s="549">
        <v>2000</v>
      </c>
      <c r="G114" s="549">
        <f t="shared" si="28"/>
        <v>10000</v>
      </c>
      <c r="I114" s="549">
        <v>27800</v>
      </c>
      <c r="J114" s="551">
        <v>900</v>
      </c>
      <c r="M114" s="557" t="s">
        <v>131</v>
      </c>
    </row>
    <row r="115" spans="1:21" s="549" customFormat="1" x14ac:dyDescent="0.3">
      <c r="A115" s="549" t="s">
        <v>57</v>
      </c>
      <c r="B115" s="549">
        <v>2000</v>
      </c>
      <c r="C115" s="549">
        <v>2000</v>
      </c>
      <c r="D115" s="549">
        <v>2000</v>
      </c>
      <c r="E115" s="549">
        <v>2000</v>
      </c>
      <c r="F115" s="549">
        <v>2000</v>
      </c>
      <c r="G115" s="549">
        <f t="shared" si="28"/>
        <v>10000</v>
      </c>
      <c r="I115" s="549">
        <v>5000</v>
      </c>
      <c r="J115" s="551"/>
      <c r="M115" s="549" t="s">
        <v>1</v>
      </c>
      <c r="N115" s="549">
        <f>S115/5</f>
        <v>48920</v>
      </c>
      <c r="O115" s="549">
        <f>S115/5</f>
        <v>48920</v>
      </c>
      <c r="P115" s="549">
        <f>S115/5</f>
        <v>48920</v>
      </c>
      <c r="Q115" s="549">
        <f>S115/5</f>
        <v>48920</v>
      </c>
      <c r="R115" s="549">
        <v>48920</v>
      </c>
      <c r="S115" s="549">
        <v>244600</v>
      </c>
    </row>
    <row r="116" spans="1:21" s="549" customFormat="1" x14ac:dyDescent="0.3">
      <c r="A116" s="549" t="s">
        <v>132</v>
      </c>
      <c r="B116" s="549">
        <v>200</v>
      </c>
      <c r="C116" s="549">
        <v>200</v>
      </c>
      <c r="D116" s="549">
        <v>200</v>
      </c>
      <c r="E116" s="549">
        <v>200</v>
      </c>
      <c r="F116" s="549">
        <v>200</v>
      </c>
      <c r="G116" s="549">
        <f t="shared" si="28"/>
        <v>1000</v>
      </c>
      <c r="I116" s="549">
        <v>2600</v>
      </c>
      <c r="J116" s="551"/>
      <c r="M116" s="549" t="s">
        <v>213</v>
      </c>
      <c r="N116" s="549">
        <v>5000</v>
      </c>
      <c r="O116" s="549">
        <v>5000</v>
      </c>
      <c r="P116" s="549">
        <v>5000</v>
      </c>
      <c r="Q116" s="549">
        <v>5000</v>
      </c>
      <c r="R116" s="549">
        <v>5000</v>
      </c>
      <c r="S116" s="549">
        <f>SUM(N116:R116)</f>
        <v>25000</v>
      </c>
    </row>
    <row r="117" spans="1:21" s="549" customFormat="1" x14ac:dyDescent="0.3">
      <c r="A117" s="549" t="s">
        <v>7</v>
      </c>
      <c r="B117" s="549">
        <v>2400</v>
      </c>
      <c r="C117" s="549">
        <v>2400</v>
      </c>
      <c r="D117" s="549">
        <v>2400</v>
      </c>
      <c r="E117" s="549">
        <v>2400</v>
      </c>
      <c r="F117" s="549">
        <v>2400</v>
      </c>
      <c r="G117" s="549">
        <f t="shared" si="28"/>
        <v>12000</v>
      </c>
      <c r="I117" s="549">
        <v>1500</v>
      </c>
      <c r="J117" s="551"/>
      <c r="M117" s="549" t="s">
        <v>122</v>
      </c>
      <c r="N117" s="549">
        <f>N115*0.0145</f>
        <v>709.34</v>
      </c>
      <c r="O117" s="549">
        <f>O115*0.0145</f>
        <v>709.34</v>
      </c>
      <c r="P117" s="549">
        <f>P115*0.0145</f>
        <v>709.34</v>
      </c>
      <c r="Q117" s="549">
        <f>Q115*0.0145</f>
        <v>709.34</v>
      </c>
      <c r="R117" s="549">
        <f>R115*0.0145</f>
        <v>709.34</v>
      </c>
      <c r="S117" s="549">
        <f>SUM(N117:R117)</f>
        <v>3546.7000000000003</v>
      </c>
    </row>
    <row r="118" spans="1:21" s="549" customFormat="1" x14ac:dyDescent="0.3">
      <c r="A118" s="549" t="s">
        <v>574</v>
      </c>
      <c r="B118" s="549">
        <v>3800</v>
      </c>
      <c r="C118" s="549">
        <v>4000</v>
      </c>
      <c r="D118" s="549">
        <v>5000</v>
      </c>
      <c r="E118" s="549">
        <v>3500</v>
      </c>
      <c r="F118" s="549">
        <v>2000</v>
      </c>
      <c r="G118" s="549">
        <f t="shared" si="28"/>
        <v>18300</v>
      </c>
      <c r="I118" s="549">
        <v>500</v>
      </c>
      <c r="J118" s="551"/>
      <c r="M118" s="549" t="s">
        <v>123</v>
      </c>
      <c r="N118" s="549">
        <v>10000</v>
      </c>
      <c r="O118" s="549">
        <v>10000</v>
      </c>
      <c r="P118" s="549">
        <v>10000</v>
      </c>
      <c r="Q118" s="549">
        <v>10000</v>
      </c>
      <c r="R118" s="549">
        <v>10000</v>
      </c>
      <c r="S118" s="549">
        <v>50000</v>
      </c>
    </row>
    <row r="119" spans="1:21" s="549" customFormat="1" x14ac:dyDescent="0.3">
      <c r="A119" s="549" t="s">
        <v>133</v>
      </c>
      <c r="B119" s="550">
        <v>3500</v>
      </c>
      <c r="C119" s="550">
        <v>3500</v>
      </c>
      <c r="D119" s="550">
        <v>3500</v>
      </c>
      <c r="E119" s="550">
        <v>3500</v>
      </c>
      <c r="F119" s="550">
        <v>3500</v>
      </c>
      <c r="G119" s="557">
        <f t="shared" si="28"/>
        <v>17500</v>
      </c>
      <c r="I119" s="549">
        <v>12000</v>
      </c>
      <c r="J119" s="551"/>
      <c r="M119" s="549" t="s">
        <v>685</v>
      </c>
      <c r="N119" s="558">
        <f>N115*0.0125</f>
        <v>611.5</v>
      </c>
      <c r="O119" s="558">
        <f>O115*0.0125</f>
        <v>611.5</v>
      </c>
      <c r="P119" s="558">
        <f>P115*0.0125</f>
        <v>611.5</v>
      </c>
      <c r="Q119" s="558">
        <f>Q115*0.0125</f>
        <v>611.5</v>
      </c>
      <c r="R119" s="558">
        <f>R115*0.0125</f>
        <v>611.5</v>
      </c>
      <c r="S119" s="549">
        <f>SUM(N119:R119)</f>
        <v>3057.5</v>
      </c>
      <c r="T119" s="549" t="s">
        <v>684</v>
      </c>
    </row>
    <row r="120" spans="1:21" s="51" customFormat="1" x14ac:dyDescent="0.3">
      <c r="A120" s="51" t="s">
        <v>704</v>
      </c>
      <c r="B120" s="78">
        <f t="shared" ref="B120:G120" si="30">SUM(B109:B119)</f>
        <v>85729</v>
      </c>
      <c r="C120" s="78">
        <f t="shared" si="30"/>
        <v>85929</v>
      </c>
      <c r="D120" s="78">
        <f t="shared" si="30"/>
        <v>86929</v>
      </c>
      <c r="E120" s="78">
        <f t="shared" si="30"/>
        <v>85429</v>
      </c>
      <c r="F120" s="78">
        <f t="shared" si="30"/>
        <v>83929</v>
      </c>
      <c r="G120" s="78">
        <f t="shared" si="30"/>
        <v>427945</v>
      </c>
      <c r="I120" s="51">
        <v>2500</v>
      </c>
      <c r="J120" s="116"/>
      <c r="M120" s="78" t="s">
        <v>124</v>
      </c>
      <c r="N120" s="78">
        <v>6200</v>
      </c>
      <c r="O120" s="78">
        <v>6200</v>
      </c>
      <c r="P120" s="78">
        <v>6200</v>
      </c>
      <c r="Q120" s="78">
        <v>6200</v>
      </c>
      <c r="R120" s="78">
        <v>6200</v>
      </c>
      <c r="S120" s="51">
        <v>31000</v>
      </c>
    </row>
    <row r="121" spans="1:21" s="51" customFormat="1" ht="17.399999999999999" customHeight="1" x14ac:dyDescent="0.3">
      <c r="A121" s="60"/>
      <c r="G121" s="60"/>
      <c r="I121" s="63">
        <v>20000</v>
      </c>
      <c r="J121" s="116"/>
      <c r="M121" s="78" t="s">
        <v>539</v>
      </c>
      <c r="N121" s="51">
        <v>37500</v>
      </c>
      <c r="O121" s="51">
        <v>37500</v>
      </c>
      <c r="P121" s="51">
        <v>720</v>
      </c>
      <c r="Q121" s="51">
        <v>720</v>
      </c>
      <c r="R121" s="51">
        <v>720</v>
      </c>
      <c r="S121" s="51">
        <f t="shared" ref="S121:S127" si="31">SUM(N121:R121)</f>
        <v>77160</v>
      </c>
    </row>
    <row r="122" spans="1:21" s="51" customFormat="1" ht="13.2" customHeight="1" x14ac:dyDescent="0.3">
      <c r="A122" s="128" t="s">
        <v>134</v>
      </c>
      <c r="I122" s="78">
        <f>SUM(I110:I121)</f>
        <v>326800</v>
      </c>
      <c r="J122" s="116"/>
      <c r="M122" s="78" t="s">
        <v>0</v>
      </c>
      <c r="N122" s="51">
        <v>500</v>
      </c>
      <c r="O122" s="51">
        <v>500</v>
      </c>
      <c r="P122" s="51">
        <v>500</v>
      </c>
      <c r="Q122" s="51">
        <v>500</v>
      </c>
      <c r="R122" s="51">
        <v>500</v>
      </c>
      <c r="S122" s="51">
        <f t="shared" si="31"/>
        <v>2500</v>
      </c>
    </row>
    <row r="123" spans="1:21" s="549" customFormat="1" x14ac:dyDescent="0.3">
      <c r="A123" s="549" t="s">
        <v>1</v>
      </c>
      <c r="B123" s="549">
        <v>44686</v>
      </c>
      <c r="C123" s="549">
        <v>44686</v>
      </c>
      <c r="D123" s="549">
        <v>44686</v>
      </c>
      <c r="E123" s="549">
        <v>44686</v>
      </c>
      <c r="F123" s="549">
        <v>20000</v>
      </c>
      <c r="G123" s="549">
        <f>SUM(B123:F123)</f>
        <v>198744</v>
      </c>
      <c r="H123" s="560"/>
      <c r="J123" s="551"/>
      <c r="M123" s="549" t="s">
        <v>57</v>
      </c>
      <c r="N123" s="549">
        <v>1000</v>
      </c>
      <c r="O123" s="549">
        <v>1000</v>
      </c>
      <c r="P123" s="549">
        <v>1000</v>
      </c>
      <c r="Q123" s="549">
        <v>1000</v>
      </c>
      <c r="R123" s="549">
        <v>1000</v>
      </c>
      <c r="S123" s="549">
        <f t="shared" si="31"/>
        <v>5000</v>
      </c>
    </row>
    <row r="124" spans="1:21" s="549" customFormat="1" x14ac:dyDescent="0.3">
      <c r="A124" s="549" t="s">
        <v>122</v>
      </c>
      <c r="B124" s="549">
        <f>B123*0.0145</f>
        <v>647.947</v>
      </c>
      <c r="C124" s="549">
        <f>C123*0.0145</f>
        <v>647.947</v>
      </c>
      <c r="D124" s="549">
        <f>D123*0.0145</f>
        <v>647.947</v>
      </c>
      <c r="E124" s="549">
        <f>E123*0.0145</f>
        <v>647.947</v>
      </c>
      <c r="F124" s="549">
        <f>F123*0.0145</f>
        <v>290</v>
      </c>
      <c r="G124" s="549">
        <f t="shared" ref="G124:G134" si="32">SUM(B124:F124)</f>
        <v>2881.788</v>
      </c>
      <c r="J124" s="551"/>
      <c r="M124" s="549" t="s">
        <v>132</v>
      </c>
      <c r="N124" s="549">
        <v>200</v>
      </c>
      <c r="O124" s="549">
        <v>200</v>
      </c>
      <c r="P124" s="549">
        <v>200</v>
      </c>
      <c r="Q124" s="549">
        <v>200</v>
      </c>
      <c r="R124" s="549">
        <v>200</v>
      </c>
      <c r="S124" s="549">
        <f t="shared" si="31"/>
        <v>1000</v>
      </c>
    </row>
    <row r="125" spans="1:21" s="549" customFormat="1" x14ac:dyDescent="0.3">
      <c r="A125" s="549" t="s">
        <v>123</v>
      </c>
      <c r="B125" s="553">
        <f>B123*0.204</f>
        <v>9115.9439999999995</v>
      </c>
      <c r="C125" s="553">
        <f>C123*0.204</f>
        <v>9115.9439999999995</v>
      </c>
      <c r="D125" s="553">
        <f>D123*0.204</f>
        <v>9115.9439999999995</v>
      </c>
      <c r="E125" s="553">
        <f>E123*0.204</f>
        <v>9115.9439999999995</v>
      </c>
      <c r="F125" s="553">
        <f>F123*0.204</f>
        <v>4079.9999999999995</v>
      </c>
      <c r="G125" s="549">
        <f t="shared" si="32"/>
        <v>40543.775999999998</v>
      </c>
      <c r="I125" s="549">
        <v>175000</v>
      </c>
      <c r="J125" s="551"/>
      <c r="M125" s="549" t="s">
        <v>7</v>
      </c>
      <c r="N125" s="549">
        <v>2400</v>
      </c>
      <c r="O125" s="549">
        <v>2400</v>
      </c>
      <c r="P125" s="549">
        <v>2400</v>
      </c>
      <c r="Q125" s="549">
        <v>2400</v>
      </c>
      <c r="R125" s="549">
        <v>2400</v>
      </c>
      <c r="S125" s="549">
        <f t="shared" si="31"/>
        <v>12000</v>
      </c>
    </row>
    <row r="126" spans="1:21" s="549" customFormat="1" x14ac:dyDescent="0.3">
      <c r="A126" s="549" t="s">
        <v>124</v>
      </c>
      <c r="B126" s="553">
        <v>10800</v>
      </c>
      <c r="C126" s="553">
        <v>10800</v>
      </c>
      <c r="D126" s="553">
        <v>10800</v>
      </c>
      <c r="E126" s="553">
        <v>10800</v>
      </c>
      <c r="F126" s="553">
        <v>2000</v>
      </c>
      <c r="G126" s="549">
        <f t="shared" si="32"/>
        <v>45200</v>
      </c>
      <c r="I126" s="549">
        <f>I125*0.0145</f>
        <v>2537.5</v>
      </c>
      <c r="J126" s="551"/>
      <c r="M126" s="549" t="s">
        <v>574</v>
      </c>
      <c r="N126" s="549">
        <v>500</v>
      </c>
      <c r="O126" s="549">
        <v>500</v>
      </c>
      <c r="P126" s="549">
        <v>500</v>
      </c>
      <c r="Q126" s="549">
        <v>500</v>
      </c>
      <c r="R126" s="549">
        <v>500</v>
      </c>
      <c r="S126" s="549">
        <f t="shared" si="31"/>
        <v>2500</v>
      </c>
    </row>
    <row r="127" spans="1:21" s="549" customFormat="1" x14ac:dyDescent="0.3">
      <c r="A127" s="549" t="s">
        <v>139</v>
      </c>
      <c r="B127" s="553">
        <v>74196</v>
      </c>
      <c r="C127" s="553">
        <v>74196</v>
      </c>
      <c r="D127" s="553">
        <v>74196</v>
      </c>
      <c r="E127" s="553">
        <v>63396</v>
      </c>
      <c r="F127" s="553">
        <v>50000</v>
      </c>
      <c r="G127" s="549">
        <f t="shared" si="32"/>
        <v>335984</v>
      </c>
      <c r="I127" s="549">
        <f>I125*0.1995</f>
        <v>34912.5</v>
      </c>
      <c r="J127" s="551"/>
      <c r="M127" s="549" t="s">
        <v>133</v>
      </c>
      <c r="N127" s="550">
        <v>3300</v>
      </c>
      <c r="O127" s="550">
        <v>3300</v>
      </c>
      <c r="P127" s="550">
        <v>3300</v>
      </c>
      <c r="Q127" s="550">
        <v>3300</v>
      </c>
      <c r="R127" s="550">
        <v>3300</v>
      </c>
      <c r="S127" s="557">
        <f t="shared" si="31"/>
        <v>16500</v>
      </c>
      <c r="U127" s="557"/>
    </row>
    <row r="128" spans="1:21" s="549" customFormat="1" x14ac:dyDescent="0.3">
      <c r="A128" s="556" t="s">
        <v>10</v>
      </c>
      <c r="B128" s="549">
        <v>3000</v>
      </c>
      <c r="C128" s="549">
        <v>3000</v>
      </c>
      <c r="D128" s="549">
        <v>3000</v>
      </c>
      <c r="E128" s="549">
        <v>3000</v>
      </c>
      <c r="F128" s="549">
        <v>3000</v>
      </c>
      <c r="G128" s="549">
        <f t="shared" si="32"/>
        <v>15000</v>
      </c>
      <c r="I128" s="549">
        <v>40500</v>
      </c>
      <c r="J128" s="551"/>
      <c r="M128" s="549" t="s">
        <v>540</v>
      </c>
      <c r="N128" s="549">
        <f t="shared" ref="N128:S128" si="33">SUM(N115:N127)</f>
        <v>116840.84</v>
      </c>
      <c r="O128" s="549">
        <f t="shared" si="33"/>
        <v>116840.84</v>
      </c>
      <c r="P128" s="549">
        <f t="shared" si="33"/>
        <v>80060.84</v>
      </c>
      <c r="Q128" s="549">
        <f t="shared" si="33"/>
        <v>80060.84</v>
      </c>
      <c r="R128" s="549">
        <f t="shared" si="33"/>
        <v>80060.84</v>
      </c>
      <c r="S128" s="549">
        <f t="shared" si="33"/>
        <v>473864.2</v>
      </c>
    </row>
    <row r="129" spans="1:21" s="549" customFormat="1" x14ac:dyDescent="0.3">
      <c r="A129" s="549" t="s">
        <v>8</v>
      </c>
      <c r="B129" s="549">
        <v>3700</v>
      </c>
      <c r="C129" s="549">
        <v>3700</v>
      </c>
      <c r="D129" s="549">
        <v>3700</v>
      </c>
      <c r="E129" s="549">
        <v>4500</v>
      </c>
      <c r="F129" s="549">
        <v>2500</v>
      </c>
      <c r="G129" s="549">
        <f t="shared" si="32"/>
        <v>18100</v>
      </c>
      <c r="J129" s="551"/>
      <c r="N129" s="561"/>
      <c r="O129" s="561"/>
      <c r="P129" s="561"/>
      <c r="Q129" s="561"/>
      <c r="R129" s="561"/>
      <c r="S129" s="560"/>
      <c r="T129" s="560"/>
    </row>
    <row r="130" spans="1:21" s="549" customFormat="1" x14ac:dyDescent="0.3">
      <c r="A130" s="549" t="s">
        <v>46</v>
      </c>
      <c r="B130" s="549">
        <v>25000</v>
      </c>
      <c r="C130" s="549">
        <v>25000</v>
      </c>
      <c r="D130" s="549">
        <v>25000</v>
      </c>
      <c r="E130" s="549">
        <v>25000</v>
      </c>
      <c r="F130" s="549">
        <v>20000</v>
      </c>
      <c r="G130" s="549">
        <f t="shared" si="32"/>
        <v>120000</v>
      </c>
      <c r="J130" s="551"/>
      <c r="M130" s="557" t="s">
        <v>134</v>
      </c>
    </row>
    <row r="131" spans="1:21" s="549" customFormat="1" ht="13.95" customHeight="1" x14ac:dyDescent="0.3">
      <c r="A131" s="549" t="s">
        <v>66</v>
      </c>
      <c r="B131" s="553">
        <v>20000</v>
      </c>
      <c r="C131" s="553">
        <v>20000</v>
      </c>
      <c r="D131" s="553">
        <v>20000</v>
      </c>
      <c r="E131" s="553">
        <v>20000</v>
      </c>
      <c r="F131" s="553">
        <v>10000</v>
      </c>
      <c r="G131" s="549">
        <f t="shared" si="32"/>
        <v>90000</v>
      </c>
      <c r="J131" s="551"/>
      <c r="M131" s="549" t="s">
        <v>1</v>
      </c>
      <c r="N131" s="549">
        <v>30168</v>
      </c>
      <c r="O131" s="549">
        <v>30168</v>
      </c>
      <c r="P131" s="549">
        <v>30168</v>
      </c>
      <c r="Q131" s="549">
        <v>30168</v>
      </c>
      <c r="R131" s="549">
        <v>30168</v>
      </c>
      <c r="S131" s="549">
        <f>SUM(N131:R131)</f>
        <v>150840</v>
      </c>
    </row>
    <row r="132" spans="1:21" s="549" customFormat="1" x14ac:dyDescent="0.3">
      <c r="A132" s="549" t="s">
        <v>705</v>
      </c>
      <c r="B132" s="549">
        <v>22025</v>
      </c>
      <c r="C132" s="549">
        <v>22025</v>
      </c>
      <c r="D132" s="549">
        <v>22025</v>
      </c>
      <c r="E132" s="549">
        <v>9293</v>
      </c>
      <c r="F132" s="549">
        <v>67867</v>
      </c>
      <c r="G132" s="549">
        <f t="shared" si="32"/>
        <v>143235</v>
      </c>
      <c r="J132" s="551"/>
      <c r="M132" s="549" t="s">
        <v>122</v>
      </c>
      <c r="N132" s="549">
        <f>N131*0.0145</f>
        <v>437.43600000000004</v>
      </c>
      <c r="O132" s="549">
        <f>O131*0.0145</f>
        <v>437.43600000000004</v>
      </c>
      <c r="P132" s="549">
        <f>P131*0.0145</f>
        <v>437.43600000000004</v>
      </c>
      <c r="Q132" s="549">
        <f>Q131*0.0145</f>
        <v>437.43600000000004</v>
      </c>
      <c r="R132" s="549">
        <f>R131*0.0145</f>
        <v>437.43600000000004</v>
      </c>
      <c r="S132" s="549">
        <f t="shared" ref="S132:S145" si="34">SUM(N132:R132)</f>
        <v>2187.1800000000003</v>
      </c>
    </row>
    <row r="133" spans="1:21" s="549" customFormat="1" x14ac:dyDescent="0.3">
      <c r="A133" s="549" t="s">
        <v>65</v>
      </c>
      <c r="B133" s="549">
        <v>50000</v>
      </c>
      <c r="C133" s="549">
        <v>50000</v>
      </c>
      <c r="D133" s="549">
        <v>50000</v>
      </c>
      <c r="E133" s="549">
        <f>30000+10000</f>
        <v>40000</v>
      </c>
      <c r="F133" s="549">
        <v>30000</v>
      </c>
      <c r="G133" s="549">
        <f t="shared" si="32"/>
        <v>220000</v>
      </c>
      <c r="J133" s="551"/>
      <c r="M133" s="549" t="s">
        <v>123</v>
      </c>
      <c r="N133" s="553">
        <f>N131*0.204</f>
        <v>6154.2719999999999</v>
      </c>
      <c r="O133" s="553">
        <f>O131*0.204</f>
        <v>6154.2719999999999</v>
      </c>
      <c r="P133" s="553">
        <f>P131*0.204</f>
        <v>6154.2719999999999</v>
      </c>
      <c r="Q133" s="553">
        <f>Q131*0.204</f>
        <v>6154.2719999999999</v>
      </c>
      <c r="R133" s="553">
        <f>R131*0.204</f>
        <v>6154.2719999999999</v>
      </c>
      <c r="S133" s="549">
        <f t="shared" si="34"/>
        <v>30771.360000000001</v>
      </c>
    </row>
    <row r="134" spans="1:21" s="549" customFormat="1" x14ac:dyDescent="0.3">
      <c r="A134" s="549" t="s">
        <v>9</v>
      </c>
      <c r="B134" s="550">
        <v>96800</v>
      </c>
      <c r="C134" s="550">
        <v>96800</v>
      </c>
      <c r="D134" s="550">
        <v>96800</v>
      </c>
      <c r="E134" s="550">
        <v>66000</v>
      </c>
      <c r="F134" s="550">
        <v>50000</v>
      </c>
      <c r="G134" s="557">
        <f t="shared" si="32"/>
        <v>406400</v>
      </c>
      <c r="J134" s="551"/>
      <c r="M134" s="549" t="s">
        <v>685</v>
      </c>
      <c r="N134" s="558">
        <f>N131*0.0125</f>
        <v>377.1</v>
      </c>
      <c r="O134" s="558">
        <f>O131*0.0125</f>
        <v>377.1</v>
      </c>
      <c r="P134" s="558">
        <f>P131*0.0125</f>
        <v>377.1</v>
      </c>
      <c r="Q134" s="558">
        <f>Q131*0.0125</f>
        <v>377.1</v>
      </c>
      <c r="R134" s="558">
        <f>R131*0.0125</f>
        <v>377.1</v>
      </c>
      <c r="S134" s="549">
        <f t="shared" si="34"/>
        <v>1885.5</v>
      </c>
      <c r="T134" s="549" t="s">
        <v>684</v>
      </c>
    </row>
    <row r="135" spans="1:21" s="549" customFormat="1" x14ac:dyDescent="0.3">
      <c r="A135" s="549" t="s">
        <v>704</v>
      </c>
      <c r="B135" s="549">
        <f t="shared" ref="B135:G135" si="35">SUM(B123:B134)</f>
        <v>359970.891</v>
      </c>
      <c r="C135" s="549">
        <f t="shared" si="35"/>
        <v>359970.891</v>
      </c>
      <c r="D135" s="549">
        <f t="shared" si="35"/>
        <v>359970.891</v>
      </c>
      <c r="E135" s="549">
        <f t="shared" si="35"/>
        <v>296438.891</v>
      </c>
      <c r="F135" s="549">
        <f t="shared" si="35"/>
        <v>259737</v>
      </c>
      <c r="G135" s="549">
        <f t="shared" si="35"/>
        <v>1636088.564</v>
      </c>
      <c r="I135" s="556"/>
      <c r="J135" s="551"/>
      <c r="M135" s="549" t="s">
        <v>124</v>
      </c>
      <c r="N135" s="553">
        <v>7800</v>
      </c>
      <c r="O135" s="553">
        <v>7800</v>
      </c>
      <c r="P135" s="553">
        <v>7800</v>
      </c>
      <c r="Q135" s="553">
        <v>7800</v>
      </c>
      <c r="R135" s="553">
        <v>7800</v>
      </c>
      <c r="S135" s="549">
        <f t="shared" si="34"/>
        <v>39000</v>
      </c>
    </row>
    <row r="136" spans="1:21" s="51" customFormat="1" x14ac:dyDescent="0.3">
      <c r="B136" s="78"/>
      <c r="C136" s="78"/>
      <c r="D136" s="78"/>
      <c r="E136" s="78"/>
      <c r="F136" s="78"/>
      <c r="G136" s="78"/>
      <c r="I136" s="58"/>
      <c r="J136" s="116"/>
      <c r="M136" s="78"/>
      <c r="N136" s="77"/>
      <c r="O136" s="77"/>
      <c r="P136" s="77"/>
      <c r="Q136" s="77"/>
      <c r="R136" s="77"/>
    </row>
    <row r="137" spans="1:21" s="51" customFormat="1" x14ac:dyDescent="0.3">
      <c r="A137" s="128" t="s">
        <v>236</v>
      </c>
      <c r="H137" s="407"/>
      <c r="J137" s="116"/>
      <c r="M137" s="79" t="s">
        <v>10</v>
      </c>
      <c r="N137" s="51">
        <v>3000</v>
      </c>
      <c r="O137" s="51">
        <v>3000</v>
      </c>
      <c r="P137" s="51">
        <v>3000</v>
      </c>
      <c r="Q137" s="51">
        <v>3000</v>
      </c>
      <c r="R137" s="51">
        <v>3000</v>
      </c>
      <c r="S137" s="51">
        <f t="shared" si="34"/>
        <v>15000</v>
      </c>
    </row>
    <row r="138" spans="1:21" s="51" customFormat="1" ht="14.25" customHeight="1" x14ac:dyDescent="0.3">
      <c r="A138" s="78" t="s">
        <v>1</v>
      </c>
      <c r="B138" s="78">
        <v>12500</v>
      </c>
      <c r="C138" s="78">
        <v>12500</v>
      </c>
      <c r="D138" s="78">
        <v>3000</v>
      </c>
      <c r="E138" s="78">
        <v>20000</v>
      </c>
      <c r="F138" s="78">
        <v>20000</v>
      </c>
      <c r="G138" s="51">
        <f t="shared" ref="G138:G143" si="36">SUM(B138:F138)</f>
        <v>68000</v>
      </c>
      <c r="I138" s="79">
        <f>SUM(I125:I128)</f>
        <v>252950</v>
      </c>
      <c r="J138" s="116"/>
      <c r="M138" s="78" t="s">
        <v>8</v>
      </c>
      <c r="N138" s="51">
        <v>3700</v>
      </c>
      <c r="O138" s="51">
        <v>3700</v>
      </c>
      <c r="P138" s="51">
        <v>3700</v>
      </c>
      <c r="Q138" s="51">
        <v>4500</v>
      </c>
      <c r="R138" s="51">
        <v>2500</v>
      </c>
      <c r="S138" s="51">
        <f t="shared" si="34"/>
        <v>18100</v>
      </c>
    </row>
    <row r="139" spans="1:21" s="51" customFormat="1" x14ac:dyDescent="0.3">
      <c r="A139" s="78" t="s">
        <v>122</v>
      </c>
      <c r="B139" s="406">
        <f>B138*0.0145</f>
        <v>181.25</v>
      </c>
      <c r="C139" s="406">
        <f>C138*0.0145</f>
        <v>181.25</v>
      </c>
      <c r="D139" s="406">
        <f>D138*0.0145</f>
        <v>43.5</v>
      </c>
      <c r="E139" s="406">
        <f>E138*0.0145</f>
        <v>290</v>
      </c>
      <c r="F139" s="406">
        <f>F138*0.0145</f>
        <v>290</v>
      </c>
      <c r="G139" s="51">
        <f t="shared" si="36"/>
        <v>986</v>
      </c>
      <c r="J139" s="116"/>
      <c r="M139" s="78" t="s">
        <v>46</v>
      </c>
      <c r="N139" s="51">
        <v>25000</v>
      </c>
      <c r="O139" s="51">
        <f>25000+5000</f>
        <v>30000</v>
      </c>
      <c r="P139" s="51">
        <v>25000</v>
      </c>
      <c r="Q139" s="51">
        <v>25000</v>
      </c>
      <c r="R139" s="51">
        <v>9000</v>
      </c>
      <c r="S139" s="51">
        <f t="shared" si="34"/>
        <v>114000</v>
      </c>
    </row>
    <row r="140" spans="1:21" s="51" customFormat="1" x14ac:dyDescent="0.3">
      <c r="A140" s="78" t="s">
        <v>123</v>
      </c>
      <c r="B140" s="77">
        <f>B138*0.204</f>
        <v>2550</v>
      </c>
      <c r="C140" s="77">
        <f>C138*0.204</f>
        <v>2550</v>
      </c>
      <c r="D140" s="77">
        <f>D138*0.204</f>
        <v>612</v>
      </c>
      <c r="E140" s="77">
        <f>E138*0.204</f>
        <v>4079.9999999999995</v>
      </c>
      <c r="F140" s="77">
        <f>F138*0.204</f>
        <v>4079.9999999999995</v>
      </c>
      <c r="G140" s="51">
        <f t="shared" si="36"/>
        <v>13872</v>
      </c>
      <c r="J140" s="116"/>
      <c r="M140" s="78" t="s">
        <v>66</v>
      </c>
      <c r="N140" s="77">
        <v>22000</v>
      </c>
      <c r="O140" s="77">
        <v>22000</v>
      </c>
      <c r="P140" s="77">
        <v>22000</v>
      </c>
      <c r="Q140" s="77">
        <v>22000</v>
      </c>
      <c r="R140" s="77">
        <v>11000</v>
      </c>
      <c r="S140" s="51">
        <f t="shared" si="34"/>
        <v>99000</v>
      </c>
    </row>
    <row r="141" spans="1:21" s="51" customFormat="1" x14ac:dyDescent="0.3">
      <c r="A141" s="78" t="s">
        <v>479</v>
      </c>
      <c r="B141" s="51">
        <v>5000</v>
      </c>
      <c r="C141" s="51">
        <v>5000</v>
      </c>
      <c r="D141" s="51">
        <v>5000</v>
      </c>
      <c r="E141" s="51">
        <v>5000</v>
      </c>
      <c r="F141" s="51">
        <v>5000</v>
      </c>
      <c r="G141" s="51">
        <f t="shared" si="36"/>
        <v>25000</v>
      </c>
      <c r="J141" s="116"/>
      <c r="M141" s="78" t="s">
        <v>590</v>
      </c>
      <c r="P141" s="51">
        <v>0</v>
      </c>
      <c r="Q141" s="51">
        <v>0</v>
      </c>
      <c r="R141" s="51">
        <v>0</v>
      </c>
      <c r="S141" s="51">
        <f t="shared" si="34"/>
        <v>0</v>
      </c>
    </row>
    <row r="142" spans="1:21" s="51" customFormat="1" x14ac:dyDescent="0.3">
      <c r="A142" s="78" t="s">
        <v>241</v>
      </c>
      <c r="B142" s="63">
        <v>8000</v>
      </c>
      <c r="C142" s="63">
        <v>8000</v>
      </c>
      <c r="D142" s="63">
        <v>8000</v>
      </c>
      <c r="E142" s="63">
        <v>20000</v>
      </c>
      <c r="F142" s="63">
        <v>20000</v>
      </c>
      <c r="G142" s="63">
        <f t="shared" si="36"/>
        <v>64000</v>
      </c>
      <c r="J142" s="116"/>
      <c r="M142" s="78" t="s">
        <v>591</v>
      </c>
      <c r="Q142" s="51">
        <v>0</v>
      </c>
      <c r="S142" s="51">
        <f t="shared" si="34"/>
        <v>0</v>
      </c>
      <c r="U142" s="58"/>
    </row>
    <row r="143" spans="1:21" s="51" customFormat="1" x14ac:dyDescent="0.3">
      <c r="A143" s="51" t="s">
        <v>704</v>
      </c>
      <c r="B143" s="64">
        <f>SUM(B138:B142)</f>
        <v>28231.25</v>
      </c>
      <c r="C143" s="64">
        <f>SUM(C138:C142)</f>
        <v>28231.25</v>
      </c>
      <c r="D143" s="64">
        <f>SUM(D138:D142)</f>
        <v>16655.5</v>
      </c>
      <c r="E143" s="64">
        <f>SUM(E138:E142)</f>
        <v>49370</v>
      </c>
      <c r="F143" s="64">
        <f>SUM(F138:F142)</f>
        <v>49370</v>
      </c>
      <c r="G143" s="51">
        <f t="shared" si="36"/>
        <v>171858</v>
      </c>
      <c r="I143" s="63"/>
      <c r="J143" s="116"/>
      <c r="M143" s="78" t="s">
        <v>65</v>
      </c>
      <c r="N143" s="51">
        <v>50000</v>
      </c>
      <c r="O143" s="51">
        <v>50000</v>
      </c>
      <c r="P143" s="51">
        <v>50000</v>
      </c>
      <c r="Q143" s="51">
        <v>50000</v>
      </c>
      <c r="R143" s="51">
        <v>40000</v>
      </c>
      <c r="S143" s="51">
        <f t="shared" si="34"/>
        <v>240000</v>
      </c>
      <c r="T143" s="51" t="s">
        <v>688</v>
      </c>
    </row>
    <row r="144" spans="1:21" s="51" customFormat="1" x14ac:dyDescent="0.3">
      <c r="A144" s="60"/>
      <c r="G144" s="60"/>
      <c r="I144" s="58"/>
      <c r="J144" s="116"/>
      <c r="M144" s="78" t="s">
        <v>687</v>
      </c>
      <c r="Q144" s="51">
        <v>30000</v>
      </c>
      <c r="S144" s="51">
        <f t="shared" si="34"/>
        <v>30000</v>
      </c>
      <c r="T144" s="51" t="s">
        <v>686</v>
      </c>
    </row>
    <row r="145" spans="1:21" s="51" customFormat="1" x14ac:dyDescent="0.3">
      <c r="A145" s="128" t="s">
        <v>138</v>
      </c>
      <c r="I145" s="58"/>
      <c r="J145" s="116"/>
      <c r="M145" s="78" t="s">
        <v>9</v>
      </c>
      <c r="N145" s="81">
        <v>96800</v>
      </c>
      <c r="O145" s="81">
        <v>96800</v>
      </c>
      <c r="P145" s="81">
        <v>96800</v>
      </c>
      <c r="Q145" s="81">
        <v>66000</v>
      </c>
      <c r="R145" s="81">
        <v>38500</v>
      </c>
      <c r="S145" s="63">
        <f t="shared" si="34"/>
        <v>394900</v>
      </c>
      <c r="T145" s="407"/>
    </row>
    <row r="146" spans="1:21" s="51" customFormat="1" ht="11.4" customHeight="1" x14ac:dyDescent="0.3">
      <c r="A146" s="78" t="s">
        <v>480</v>
      </c>
      <c r="B146" s="51">
        <v>50000</v>
      </c>
      <c r="C146" s="51">
        <v>50000</v>
      </c>
      <c r="D146" s="51">
        <v>50000</v>
      </c>
      <c r="E146" s="51">
        <v>20000</v>
      </c>
      <c r="F146" s="51">
        <v>20000</v>
      </c>
      <c r="G146" s="51">
        <f t="shared" ref="G146:G152" si="37">SUM(B146:F146)</f>
        <v>190000</v>
      </c>
      <c r="I146" s="51">
        <v>131769</v>
      </c>
      <c r="J146" s="116"/>
      <c r="M146" s="78" t="s">
        <v>541</v>
      </c>
      <c r="N146" s="78">
        <f t="shared" ref="N146:S146" si="38">SUM(N131:N145)</f>
        <v>245436.80799999999</v>
      </c>
      <c r="O146" s="78">
        <f t="shared" si="38"/>
        <v>250436.80799999999</v>
      </c>
      <c r="P146" s="78">
        <f t="shared" si="38"/>
        <v>245436.80799999999</v>
      </c>
      <c r="Q146" s="78">
        <f t="shared" si="38"/>
        <v>245436.80799999999</v>
      </c>
      <c r="R146" s="78">
        <f t="shared" si="38"/>
        <v>148936.80799999999</v>
      </c>
      <c r="S146" s="78">
        <f t="shared" si="38"/>
        <v>1135684.04</v>
      </c>
      <c r="U146" s="79"/>
    </row>
    <row r="147" spans="1:21" s="51" customFormat="1" x14ac:dyDescent="0.3">
      <c r="A147" s="78" t="s">
        <v>228</v>
      </c>
      <c r="B147" s="51">
        <v>55000</v>
      </c>
      <c r="C147" s="51">
        <v>55000</v>
      </c>
      <c r="D147" s="51">
        <v>55000</v>
      </c>
      <c r="E147" s="51">
        <v>46000</v>
      </c>
      <c r="F147" s="51">
        <v>40000</v>
      </c>
      <c r="G147" s="51">
        <f t="shared" si="37"/>
        <v>251000</v>
      </c>
      <c r="J147" s="116"/>
    </row>
    <row r="148" spans="1:21" s="51" customFormat="1" x14ac:dyDescent="0.3">
      <c r="A148" s="78" t="s">
        <v>47</v>
      </c>
      <c r="B148" s="51">
        <v>26000</v>
      </c>
      <c r="C148" s="51">
        <v>26000</v>
      </c>
      <c r="D148" s="51">
        <v>26000</v>
      </c>
      <c r="E148" s="51">
        <v>26000</v>
      </c>
      <c r="F148" s="51">
        <v>22000</v>
      </c>
      <c r="G148" s="51">
        <f t="shared" si="37"/>
        <v>126000</v>
      </c>
      <c r="J148" s="116"/>
      <c r="M148" s="63" t="s">
        <v>236</v>
      </c>
    </row>
    <row r="149" spans="1:21" s="51" customFormat="1" x14ac:dyDescent="0.3">
      <c r="A149" s="78" t="s">
        <v>11</v>
      </c>
      <c r="B149" s="51">
        <v>25000</v>
      </c>
      <c r="C149" s="51">
        <v>25000</v>
      </c>
      <c r="D149" s="51">
        <v>25000</v>
      </c>
      <c r="E149" s="51">
        <v>25000</v>
      </c>
      <c r="F149" s="51">
        <f>23500-6000</f>
        <v>17500</v>
      </c>
      <c r="G149" s="51">
        <f t="shared" si="37"/>
        <v>117500</v>
      </c>
      <c r="I149" s="51">
        <v>7200</v>
      </c>
      <c r="J149" s="116"/>
      <c r="M149" s="78" t="s">
        <v>1</v>
      </c>
      <c r="N149" s="78">
        <v>16000</v>
      </c>
      <c r="O149" s="78">
        <v>16000</v>
      </c>
      <c r="P149" s="78">
        <v>5000</v>
      </c>
      <c r="Q149" s="78">
        <v>20000</v>
      </c>
      <c r="R149" s="78">
        <v>20000</v>
      </c>
      <c r="S149" s="51">
        <f t="shared" ref="S149:S155" si="39">SUM(N149:R149)</f>
        <v>77000</v>
      </c>
    </row>
    <row r="150" spans="1:21" s="51" customFormat="1" x14ac:dyDescent="0.3">
      <c r="A150" s="78" t="s">
        <v>12</v>
      </c>
      <c r="B150" s="51">
        <v>3000</v>
      </c>
      <c r="C150" s="51">
        <v>3000</v>
      </c>
      <c r="D150" s="51">
        <v>3000</v>
      </c>
      <c r="E150" s="51">
        <v>3000</v>
      </c>
      <c r="F150" s="51">
        <v>1000</v>
      </c>
      <c r="G150" s="51">
        <f t="shared" si="37"/>
        <v>13000</v>
      </c>
      <c r="I150" s="51">
        <v>104</v>
      </c>
      <c r="J150" s="116"/>
      <c r="M150" s="78" t="s">
        <v>122</v>
      </c>
      <c r="N150" s="406">
        <f>N149*0.0145</f>
        <v>232</v>
      </c>
      <c r="O150" s="406">
        <f>O149*0.0145</f>
        <v>232</v>
      </c>
      <c r="P150" s="406">
        <f>P149*0.0145</f>
        <v>72.5</v>
      </c>
      <c r="Q150" s="406">
        <f>Q149*0.0145</f>
        <v>290</v>
      </c>
      <c r="R150" s="406">
        <f>R149*0.0145</f>
        <v>290</v>
      </c>
      <c r="S150" s="51">
        <f t="shared" si="39"/>
        <v>1116.5</v>
      </c>
    </row>
    <row r="151" spans="1:21" s="51" customFormat="1" x14ac:dyDescent="0.3">
      <c r="A151" s="78" t="s">
        <v>13</v>
      </c>
      <c r="B151" s="51">
        <v>6500</v>
      </c>
      <c r="C151" s="51">
        <v>6500</v>
      </c>
      <c r="D151" s="51">
        <v>6500</v>
      </c>
      <c r="E151" s="51">
        <v>6500</v>
      </c>
      <c r="F151" s="51">
        <v>6000</v>
      </c>
      <c r="G151" s="51">
        <f t="shared" si="37"/>
        <v>32000</v>
      </c>
      <c r="I151" s="51">
        <v>1432</v>
      </c>
      <c r="J151" s="116"/>
      <c r="M151" s="78" t="s">
        <v>123</v>
      </c>
      <c r="N151" s="77">
        <f>N149*0.204</f>
        <v>3264</v>
      </c>
      <c r="O151" s="77">
        <f>O149*0.204</f>
        <v>3264</v>
      </c>
      <c r="P151" s="77">
        <f>P149*0.204</f>
        <v>1019.9999999999999</v>
      </c>
      <c r="Q151" s="77">
        <f>Q149*0.204</f>
        <v>4079.9999999999995</v>
      </c>
      <c r="R151" s="77">
        <f>R149*0.204</f>
        <v>4079.9999999999995</v>
      </c>
      <c r="S151" s="51">
        <f t="shared" si="39"/>
        <v>15708</v>
      </c>
      <c r="U151" s="63"/>
    </row>
    <row r="152" spans="1:21" s="51" customFormat="1" x14ac:dyDescent="0.3">
      <c r="A152" s="78" t="s">
        <v>64</v>
      </c>
      <c r="B152" s="103">
        <v>15450</v>
      </c>
      <c r="C152" s="103">
        <v>20600</v>
      </c>
      <c r="D152" s="103">
        <v>25750</v>
      </c>
      <c r="E152" s="103">
        <v>25750</v>
      </c>
      <c r="F152" s="103">
        <v>2318</v>
      </c>
      <c r="G152" s="63">
        <f t="shared" si="37"/>
        <v>89868</v>
      </c>
      <c r="I152" s="51">
        <v>50000</v>
      </c>
      <c r="J152" s="116"/>
      <c r="M152" s="78" t="s">
        <v>479</v>
      </c>
      <c r="N152" s="51">
        <v>5000</v>
      </c>
      <c r="O152" s="51">
        <v>5000</v>
      </c>
      <c r="P152" s="51">
        <v>5000</v>
      </c>
      <c r="Q152" s="51">
        <v>5000</v>
      </c>
      <c r="R152" s="51">
        <v>5000</v>
      </c>
      <c r="S152" s="51">
        <f t="shared" si="39"/>
        <v>25000</v>
      </c>
      <c r="U152" s="58"/>
    </row>
    <row r="153" spans="1:21" s="51" customFormat="1" x14ac:dyDescent="0.3">
      <c r="A153" s="51" t="s">
        <v>704</v>
      </c>
      <c r="B153" s="79">
        <f t="shared" ref="B153:G153" si="40">SUM(B146:B152)</f>
        <v>180950</v>
      </c>
      <c r="C153" s="79">
        <f t="shared" si="40"/>
        <v>186100</v>
      </c>
      <c r="D153" s="79">
        <f t="shared" si="40"/>
        <v>191250</v>
      </c>
      <c r="E153" s="79">
        <f t="shared" si="40"/>
        <v>152250</v>
      </c>
      <c r="F153" s="79">
        <f t="shared" si="40"/>
        <v>108818</v>
      </c>
      <c r="G153" s="79">
        <f t="shared" si="40"/>
        <v>819368</v>
      </c>
      <c r="I153" s="51">
        <v>250000</v>
      </c>
      <c r="J153" s="116"/>
      <c r="M153" s="78" t="s">
        <v>685</v>
      </c>
      <c r="N153" s="82">
        <f>N149*0.0125</f>
        <v>200</v>
      </c>
      <c r="O153" s="82">
        <f>O149*0.02</f>
        <v>320</v>
      </c>
      <c r="P153" s="82">
        <f>P149*0.02</f>
        <v>100</v>
      </c>
      <c r="Q153" s="82">
        <f>Q149*0.02</f>
        <v>400</v>
      </c>
      <c r="R153" s="82">
        <f>R149*0.02</f>
        <v>400</v>
      </c>
      <c r="S153" s="51">
        <f t="shared" si="39"/>
        <v>1420</v>
      </c>
      <c r="T153" s="51" t="s">
        <v>684</v>
      </c>
    </row>
    <row r="154" spans="1:21" s="51" customFormat="1" x14ac:dyDescent="0.3">
      <c r="A154" s="60"/>
      <c r="G154" s="60"/>
      <c r="I154" s="51">
        <v>72000</v>
      </c>
      <c r="J154" s="116"/>
      <c r="M154" s="78" t="s">
        <v>241</v>
      </c>
      <c r="N154" s="63">
        <v>8000</v>
      </c>
      <c r="O154" s="63">
        <v>8000</v>
      </c>
      <c r="P154" s="63">
        <v>8000</v>
      </c>
      <c r="Q154" s="63">
        <v>20000</v>
      </c>
      <c r="R154" s="63">
        <v>20000</v>
      </c>
      <c r="S154" s="63">
        <f t="shared" si="39"/>
        <v>64000</v>
      </c>
      <c r="U154" s="58"/>
    </row>
    <row r="155" spans="1:21" s="51" customFormat="1" x14ac:dyDescent="0.3">
      <c r="A155" s="257" t="s">
        <v>706</v>
      </c>
      <c r="B155" s="79"/>
      <c r="C155" s="79"/>
      <c r="D155" s="79"/>
      <c r="E155" s="79"/>
      <c r="F155" s="79"/>
      <c r="G155" s="79"/>
      <c r="I155" s="51">
        <v>123000</v>
      </c>
      <c r="J155" s="116"/>
      <c r="M155" s="51" t="s">
        <v>236</v>
      </c>
      <c r="N155" s="64">
        <f>SUM(N149:N154)</f>
        <v>32696</v>
      </c>
      <c r="O155" s="64">
        <f>SUM(O149:O154)</f>
        <v>32816</v>
      </c>
      <c r="P155" s="64">
        <f>SUM(P149:P154)</f>
        <v>19192.5</v>
      </c>
      <c r="Q155" s="64">
        <f>SUM(Q149:Q154)</f>
        <v>49770</v>
      </c>
      <c r="R155" s="64">
        <f>SUM(R149:R154)</f>
        <v>49770</v>
      </c>
      <c r="S155" s="51">
        <f t="shared" si="39"/>
        <v>184244.5</v>
      </c>
    </row>
    <row r="156" spans="1:21" s="51" customFormat="1" x14ac:dyDescent="0.3">
      <c r="A156" s="78" t="s">
        <v>1</v>
      </c>
      <c r="B156" s="79">
        <v>31187</v>
      </c>
      <c r="C156" s="79">
        <v>31187</v>
      </c>
      <c r="D156" s="79">
        <v>31187</v>
      </c>
      <c r="E156" s="79">
        <v>31187</v>
      </c>
      <c r="F156" s="79">
        <v>5500</v>
      </c>
      <c r="G156" s="79">
        <f>SUM(B156:F156)</f>
        <v>130248</v>
      </c>
      <c r="I156" s="51">
        <v>15000</v>
      </c>
      <c r="J156" s="116"/>
    </row>
    <row r="157" spans="1:21" s="51" customFormat="1" x14ac:dyDescent="0.3">
      <c r="A157" s="78" t="s">
        <v>122</v>
      </c>
      <c r="B157" s="79">
        <v>454</v>
      </c>
      <c r="C157" s="79">
        <v>454</v>
      </c>
      <c r="D157" s="79">
        <v>454</v>
      </c>
      <c r="E157" s="79">
        <v>454</v>
      </c>
      <c r="F157" s="79">
        <v>80</v>
      </c>
      <c r="G157" s="79">
        <f>SUM(B157:F157)</f>
        <v>1896</v>
      </c>
      <c r="H157" s="269"/>
      <c r="I157" s="51">
        <v>28000</v>
      </c>
      <c r="J157" s="116"/>
      <c r="M157" s="63" t="s">
        <v>138</v>
      </c>
    </row>
    <row r="158" spans="1:21" s="51" customFormat="1" x14ac:dyDescent="0.3">
      <c r="A158" s="78" t="s">
        <v>123</v>
      </c>
      <c r="B158" s="79">
        <v>6370</v>
      </c>
      <c r="C158" s="79">
        <v>6370</v>
      </c>
      <c r="D158" s="79">
        <v>6370</v>
      </c>
      <c r="E158" s="79">
        <v>6370</v>
      </c>
      <c r="F158" s="79">
        <v>1138</v>
      </c>
      <c r="G158" s="79">
        <f>SUM(B158:F158)</f>
        <v>26618</v>
      </c>
      <c r="I158" s="51">
        <v>60000</v>
      </c>
      <c r="J158" s="116"/>
      <c r="M158" s="78" t="s">
        <v>480</v>
      </c>
      <c r="N158" s="51">
        <v>50000</v>
      </c>
      <c r="O158" s="51">
        <v>50000</v>
      </c>
      <c r="P158" s="51">
        <v>50000</v>
      </c>
      <c r="Q158" s="51">
        <v>20000</v>
      </c>
      <c r="R158" s="51">
        <v>10000</v>
      </c>
      <c r="S158" s="51">
        <f t="shared" ref="S158:S164" si="41">SUM(N158:R158)</f>
        <v>180000</v>
      </c>
    </row>
    <row r="159" spans="1:21" s="51" customFormat="1" x14ac:dyDescent="0.3">
      <c r="A159" s="78" t="s">
        <v>124</v>
      </c>
      <c r="B159" s="79">
        <v>12600</v>
      </c>
      <c r="C159" s="79">
        <v>12600</v>
      </c>
      <c r="D159" s="79">
        <v>12600</v>
      </c>
      <c r="E159" s="79">
        <v>12600</v>
      </c>
      <c r="F159" s="79">
        <v>2250</v>
      </c>
      <c r="G159" s="79">
        <f>SUM(B159:F159)</f>
        <v>52650</v>
      </c>
      <c r="I159" s="371">
        <f>SUM(I149:I158)</f>
        <v>606736</v>
      </c>
      <c r="J159" s="116"/>
      <c r="M159" s="78" t="s">
        <v>228</v>
      </c>
      <c r="N159" s="51">
        <v>50000</v>
      </c>
      <c r="O159" s="51">
        <v>50000</v>
      </c>
      <c r="P159" s="51">
        <v>50000</v>
      </c>
      <c r="Q159" s="51">
        <v>45000</v>
      </c>
      <c r="R159" s="51">
        <v>30000</v>
      </c>
      <c r="S159" s="51">
        <f t="shared" si="41"/>
        <v>225000</v>
      </c>
    </row>
    <row r="160" spans="1:21" s="51" customFormat="1" x14ac:dyDescent="0.3">
      <c r="A160" s="78" t="s">
        <v>503</v>
      </c>
      <c r="B160" s="79">
        <v>1400</v>
      </c>
      <c r="C160" s="79">
        <v>1400</v>
      </c>
      <c r="D160" s="79">
        <v>1400</v>
      </c>
      <c r="E160" s="79">
        <v>1400</v>
      </c>
      <c r="F160" s="79">
        <v>500</v>
      </c>
      <c r="G160" s="79">
        <f>SUM(B160:F160)</f>
        <v>6100</v>
      </c>
      <c r="H160" s="269"/>
      <c r="J160" s="116"/>
      <c r="M160" s="78" t="s">
        <v>47</v>
      </c>
      <c r="N160" s="51">
        <v>26000</v>
      </c>
      <c r="O160" s="51">
        <v>26000</v>
      </c>
      <c r="P160" s="51">
        <v>26000</v>
      </c>
      <c r="Q160" s="51">
        <v>26000</v>
      </c>
      <c r="R160" s="51">
        <v>22000</v>
      </c>
      <c r="S160" s="51">
        <f t="shared" si="41"/>
        <v>126000</v>
      </c>
    </row>
    <row r="161" spans="1:22" s="51" customFormat="1" x14ac:dyDescent="0.3">
      <c r="A161" s="51" t="s">
        <v>704</v>
      </c>
      <c r="B161" s="513">
        <f t="shared" ref="B161:G161" si="42">SUM(B156:B160)</f>
        <v>52011</v>
      </c>
      <c r="C161" s="513">
        <f t="shared" si="42"/>
        <v>52011</v>
      </c>
      <c r="D161" s="513">
        <f t="shared" si="42"/>
        <v>52011</v>
      </c>
      <c r="E161" s="513">
        <f t="shared" si="42"/>
        <v>52011</v>
      </c>
      <c r="F161" s="513">
        <f t="shared" si="42"/>
        <v>9468</v>
      </c>
      <c r="G161" s="513">
        <f t="shared" si="42"/>
        <v>217512</v>
      </c>
      <c r="H161" s="269"/>
      <c r="I161" s="51">
        <v>131769</v>
      </c>
      <c r="J161" s="116"/>
      <c r="M161" s="78" t="s">
        <v>11</v>
      </c>
      <c r="N161" s="51">
        <v>25000</v>
      </c>
      <c r="O161" s="51">
        <v>25000</v>
      </c>
      <c r="P161" s="51">
        <v>25000</v>
      </c>
      <c r="Q161" s="51">
        <v>25000</v>
      </c>
      <c r="R161" s="51">
        <f>23500-6000</f>
        <v>17500</v>
      </c>
      <c r="S161" s="51">
        <f t="shared" si="41"/>
        <v>117500</v>
      </c>
    </row>
    <row r="162" spans="1:22" s="51" customFormat="1" ht="12.75" customHeight="1" x14ac:dyDescent="0.3">
      <c r="A162" s="78"/>
      <c r="B162" s="79"/>
      <c r="C162" s="79"/>
      <c r="D162" s="79"/>
      <c r="E162" s="79"/>
      <c r="F162" s="79"/>
      <c r="G162" s="79"/>
      <c r="H162" s="269"/>
      <c r="I162" s="51">
        <v>131769</v>
      </c>
      <c r="J162" s="116"/>
      <c r="M162" s="78" t="s">
        <v>12</v>
      </c>
      <c r="N162" s="51">
        <v>3000</v>
      </c>
      <c r="O162" s="51">
        <v>3000</v>
      </c>
      <c r="P162" s="51">
        <v>3000</v>
      </c>
      <c r="Q162" s="51">
        <v>3000</v>
      </c>
      <c r="R162" s="51">
        <v>1000</v>
      </c>
      <c r="S162" s="51">
        <f t="shared" si="41"/>
        <v>13000</v>
      </c>
    </row>
    <row r="163" spans="1:22" s="60" customFormat="1" ht="13.5" customHeight="1" x14ac:dyDescent="0.3">
      <c r="A163" s="60" t="s">
        <v>702</v>
      </c>
      <c r="B163" s="64">
        <v>29500</v>
      </c>
      <c r="C163" s="64">
        <f>108650+9580</f>
        <v>118230</v>
      </c>
      <c r="D163" s="64"/>
      <c r="E163" s="64"/>
      <c r="F163" s="64"/>
      <c r="G163" s="51">
        <f>SUM(B163:F163)</f>
        <v>147730</v>
      </c>
      <c r="H163" s="269"/>
      <c r="I163" s="51"/>
      <c r="J163" s="116"/>
      <c r="M163" s="78" t="s">
        <v>13</v>
      </c>
      <c r="N163" s="51">
        <v>6500</v>
      </c>
      <c r="O163" s="51">
        <v>6500</v>
      </c>
      <c r="P163" s="51">
        <v>6500</v>
      </c>
      <c r="Q163" s="51">
        <v>6500</v>
      </c>
      <c r="R163" s="51">
        <v>6000</v>
      </c>
      <c r="S163" s="51">
        <f t="shared" si="41"/>
        <v>32000</v>
      </c>
      <c r="T163" s="51"/>
      <c r="U163" s="51"/>
      <c r="V163" s="51"/>
    </row>
    <row r="164" spans="1:22" s="60" customFormat="1" ht="13.5" customHeight="1" x14ac:dyDescent="0.3">
      <c r="A164" s="51"/>
      <c r="B164" s="370"/>
      <c r="C164" s="370"/>
      <c r="D164" s="370"/>
      <c r="E164" s="370"/>
      <c r="F164" s="370"/>
      <c r="G164" s="269"/>
      <c r="H164" s="269"/>
      <c r="I164" s="51"/>
      <c r="J164" s="116"/>
      <c r="M164" s="78" t="s">
        <v>64</v>
      </c>
      <c r="N164" s="103">
        <v>15450</v>
      </c>
      <c r="O164" s="103">
        <v>20600</v>
      </c>
      <c r="P164" s="103">
        <v>25750</v>
      </c>
      <c r="Q164" s="103">
        <v>25750</v>
      </c>
      <c r="R164" s="103">
        <v>2318</v>
      </c>
      <c r="S164" s="63">
        <f t="shared" si="41"/>
        <v>89868</v>
      </c>
      <c r="T164" s="51"/>
      <c r="U164" s="51"/>
      <c r="V164" s="51"/>
    </row>
    <row r="165" spans="1:22" s="60" customFormat="1" ht="13.5" customHeight="1" x14ac:dyDescent="0.3">
      <c r="A165" s="60" t="s">
        <v>481</v>
      </c>
      <c r="B165" s="66">
        <f>257016+28533+1000</f>
        <v>286549</v>
      </c>
      <c r="C165" s="66">
        <f>29630+268698+1000</f>
        <v>299328</v>
      </c>
      <c r="D165" s="66">
        <f>338793+31825+1000</f>
        <v>371618</v>
      </c>
      <c r="E165" s="66">
        <f>175238+19753+1000</f>
        <v>195991</v>
      </c>
      <c r="F165" s="66">
        <f>128508+25818+1000</f>
        <v>155326</v>
      </c>
      <c r="G165" s="63">
        <f>SUM(B165:F165)</f>
        <v>1308812</v>
      </c>
      <c r="H165" s="269"/>
      <c r="I165" s="51"/>
      <c r="J165" s="116"/>
      <c r="M165" s="78" t="s">
        <v>542</v>
      </c>
      <c r="N165" s="79">
        <f t="shared" ref="N165:S165" si="43">SUM(N158:N164)</f>
        <v>175950</v>
      </c>
      <c r="O165" s="79">
        <f t="shared" si="43"/>
        <v>181100</v>
      </c>
      <c r="P165" s="79">
        <f t="shared" si="43"/>
        <v>186250</v>
      </c>
      <c r="Q165" s="79">
        <f t="shared" si="43"/>
        <v>151250</v>
      </c>
      <c r="R165" s="79">
        <f t="shared" si="43"/>
        <v>88818</v>
      </c>
      <c r="S165" s="79">
        <f t="shared" si="43"/>
        <v>783368</v>
      </c>
      <c r="T165" s="51"/>
      <c r="U165" s="51"/>
      <c r="V165" s="51"/>
    </row>
    <row r="166" spans="1:22" s="60" customFormat="1" ht="13.5" customHeight="1" x14ac:dyDescent="0.3">
      <c r="A166" s="159" t="s">
        <v>592</v>
      </c>
      <c r="B166" s="514">
        <f t="shared" ref="B166:G166" si="44">+B165+B153+B143+B135+B120+B106+B94+B79+B67+B52+B161+B163</f>
        <v>4176122.4483000003</v>
      </c>
      <c r="C166" s="514">
        <f t="shared" si="44"/>
        <v>4325712.5733000003</v>
      </c>
      <c r="D166" s="514">
        <f t="shared" si="44"/>
        <v>4633812.4687999999</v>
      </c>
      <c r="E166" s="514">
        <f t="shared" si="44"/>
        <v>3028576.5278000003</v>
      </c>
      <c r="F166" s="514">
        <f t="shared" si="44"/>
        <v>2887072.2893000003</v>
      </c>
      <c r="G166" s="514">
        <f t="shared" si="44"/>
        <v>19051296.307500001</v>
      </c>
      <c r="H166" s="269"/>
      <c r="I166" s="51"/>
      <c r="J166" s="116"/>
      <c r="M166" s="51"/>
      <c r="N166" s="370"/>
      <c r="O166" s="370"/>
      <c r="P166" s="370"/>
      <c r="Q166" s="370"/>
      <c r="R166" s="370"/>
      <c r="S166" s="269"/>
      <c r="T166" s="269"/>
      <c r="U166" s="51"/>
      <c r="V166" s="51"/>
    </row>
    <row r="167" spans="1:22" s="60" customFormat="1" ht="13.5" customHeight="1" x14ac:dyDescent="0.3">
      <c r="B167" s="51"/>
      <c r="C167" s="51"/>
      <c r="D167" s="51"/>
      <c r="E167" s="51"/>
      <c r="F167" s="51"/>
      <c r="H167" s="269"/>
      <c r="I167" s="51"/>
      <c r="J167" s="116"/>
      <c r="M167" s="51" t="s">
        <v>481</v>
      </c>
      <c r="N167" s="66">
        <v>345000</v>
      </c>
      <c r="O167" s="66">
        <v>370000</v>
      </c>
      <c r="P167" s="66">
        <v>385000</v>
      </c>
      <c r="Q167" s="66">
        <v>240000</v>
      </c>
      <c r="R167" s="66">
        <v>310000</v>
      </c>
      <c r="S167" s="63">
        <f>SUM(N167:R167)</f>
        <v>1650000</v>
      </c>
      <c r="T167" s="51"/>
      <c r="U167" s="51"/>
      <c r="V167" s="51"/>
    </row>
    <row r="168" spans="1:22" s="60" customFormat="1" ht="13.5" customHeight="1" x14ac:dyDescent="0.3">
      <c r="A168" s="159" t="s">
        <v>707</v>
      </c>
      <c r="B168" s="161">
        <f t="shared" ref="B168:G168" si="45">+B31-B166</f>
        <v>306135.55169999972</v>
      </c>
      <c r="C168" s="161">
        <f t="shared" si="45"/>
        <v>405390.42669999972</v>
      </c>
      <c r="D168" s="161">
        <f t="shared" si="45"/>
        <v>413493.25119999982</v>
      </c>
      <c r="E168" s="161">
        <f t="shared" si="45"/>
        <v>50332.472199999727</v>
      </c>
      <c r="F168" s="161">
        <f t="shared" si="45"/>
        <v>10449.710699999705</v>
      </c>
      <c r="G168" s="161">
        <f t="shared" si="45"/>
        <v>1185801.4124999978</v>
      </c>
      <c r="H168" s="269"/>
      <c r="I168" s="51"/>
      <c r="J168" s="116"/>
      <c r="M168" s="306" t="s">
        <v>592</v>
      </c>
      <c r="N168" s="508">
        <f t="shared" ref="N168:S168" si="46">+N167+N165+N155+N146+N128+N112+N99+N83+N70+N53</f>
        <v>3939560.4359999998</v>
      </c>
      <c r="O168" s="508">
        <f t="shared" si="46"/>
        <v>4017712.4869999997</v>
      </c>
      <c r="P168" s="508">
        <f t="shared" si="46"/>
        <v>4348094.7379999999</v>
      </c>
      <c r="Q168" s="508">
        <f t="shared" si="46"/>
        <v>2873458.1059999997</v>
      </c>
      <c r="R168" s="508">
        <f t="shared" si="46"/>
        <v>2813338.3710000003</v>
      </c>
      <c r="S168" s="508">
        <f t="shared" si="46"/>
        <v>17992164.138</v>
      </c>
      <c r="T168" s="51"/>
      <c r="U168" s="371"/>
      <c r="V168" s="51"/>
    </row>
    <row r="169" spans="1:22" s="60" customFormat="1" ht="13.5" customHeight="1" x14ac:dyDescent="0.3">
      <c r="B169" s="51"/>
      <c r="C169" s="51"/>
      <c r="D169" s="51"/>
      <c r="E169" s="51"/>
      <c r="F169" s="51"/>
      <c r="H169" s="269"/>
      <c r="I169" s="51"/>
      <c r="J169" s="116"/>
      <c r="T169" s="269"/>
      <c r="U169" s="51"/>
      <c r="V169" s="51"/>
    </row>
    <row r="170" spans="1:22" s="60" customFormat="1" ht="13.5" customHeight="1" x14ac:dyDescent="0.3">
      <c r="A170" s="128" t="s">
        <v>708</v>
      </c>
      <c r="B170" s="51"/>
      <c r="C170" s="51"/>
      <c r="D170" s="51"/>
      <c r="E170" s="51"/>
      <c r="F170" s="51"/>
      <c r="H170" s="269"/>
      <c r="I170" s="51"/>
      <c r="J170" s="116"/>
      <c r="M170" s="507" t="s">
        <v>595</v>
      </c>
      <c r="N170" s="506">
        <f t="shared" ref="N170:S170" si="47">+N28-N168</f>
        <v>194422.56400000025</v>
      </c>
      <c r="O170" s="506">
        <f t="shared" si="47"/>
        <v>251127.51300000027</v>
      </c>
      <c r="P170" s="506">
        <f t="shared" si="47"/>
        <v>189099.2620000001</v>
      </c>
      <c r="Q170" s="506">
        <f t="shared" si="47"/>
        <v>69558.794000000227</v>
      </c>
      <c r="R170" s="506">
        <f t="shared" si="47"/>
        <v>34598.628999999724</v>
      </c>
      <c r="S170" s="506">
        <f t="shared" si="47"/>
        <v>738806.76199999824</v>
      </c>
      <c r="T170" s="269"/>
      <c r="U170" s="51"/>
      <c r="V170" s="51"/>
    </row>
    <row r="171" spans="1:22" s="60" customFormat="1" ht="13.5" customHeight="1" x14ac:dyDescent="0.3">
      <c r="A171" s="51" t="s">
        <v>709</v>
      </c>
      <c r="B171" s="51">
        <v>50000</v>
      </c>
      <c r="C171" s="51">
        <v>50000</v>
      </c>
      <c r="D171" s="51">
        <v>50000</v>
      </c>
      <c r="E171" s="51">
        <v>25000</v>
      </c>
      <c r="F171" s="51">
        <v>10000</v>
      </c>
      <c r="G171" s="51">
        <f>SUM(B171:F171)</f>
        <v>185000</v>
      </c>
      <c r="H171" s="269"/>
      <c r="I171" s="51"/>
      <c r="J171" s="116"/>
      <c r="T171" s="269"/>
      <c r="U171" s="51"/>
      <c r="V171" s="51"/>
    </row>
    <row r="172" spans="1:22" s="60" customFormat="1" ht="13.5" customHeight="1" x14ac:dyDescent="0.3">
      <c r="A172" s="51" t="s">
        <v>710</v>
      </c>
      <c r="B172" s="51">
        <v>34000</v>
      </c>
      <c r="C172" s="51">
        <v>34000</v>
      </c>
      <c r="D172" s="51">
        <v>34000</v>
      </c>
      <c r="E172" s="51">
        <v>18000</v>
      </c>
      <c r="F172" s="51">
        <v>0</v>
      </c>
      <c r="G172" s="51">
        <f>SUM(B172:F172)</f>
        <v>120000</v>
      </c>
      <c r="H172" s="269"/>
      <c r="I172" s="51"/>
      <c r="J172" s="116"/>
      <c r="M172" s="57" t="s">
        <v>683</v>
      </c>
      <c r="N172" s="79" t="s">
        <v>15</v>
      </c>
      <c r="O172" s="79" t="s">
        <v>15</v>
      </c>
      <c r="P172" s="79" t="s">
        <v>15</v>
      </c>
      <c r="Q172" s="76"/>
      <c r="R172" s="79"/>
      <c r="S172" s="505"/>
      <c r="T172" s="269"/>
      <c r="U172" s="51"/>
      <c r="V172" s="51"/>
    </row>
    <row r="173" spans="1:22" s="60" customFormat="1" ht="13.5" customHeight="1" x14ac:dyDescent="0.3">
      <c r="A173" s="51" t="s">
        <v>711</v>
      </c>
      <c r="B173" s="51"/>
      <c r="C173" s="51"/>
      <c r="D173" s="51"/>
      <c r="E173" s="51">
        <v>0</v>
      </c>
      <c r="F173" s="51"/>
      <c r="G173" s="51">
        <f>SUM(B173:F173)</f>
        <v>0</v>
      </c>
      <c r="H173" s="269"/>
      <c r="I173" s="51"/>
      <c r="J173" s="116"/>
      <c r="M173" s="57" t="s">
        <v>682</v>
      </c>
      <c r="N173" s="79">
        <v>623138</v>
      </c>
      <c r="O173" s="79">
        <v>682978</v>
      </c>
      <c r="P173" s="79">
        <v>802104</v>
      </c>
      <c r="Q173" s="76">
        <v>477190</v>
      </c>
      <c r="R173" s="79">
        <v>231794</v>
      </c>
      <c r="S173" s="505">
        <f>SUM(N173:R173)</f>
        <v>2817204</v>
      </c>
      <c r="T173" s="269"/>
      <c r="U173" s="51"/>
      <c r="V173" s="51"/>
    </row>
    <row r="174" spans="1:22" s="60" customFormat="1" ht="13.5" customHeight="1" x14ac:dyDescent="0.3">
      <c r="A174" s="51" t="s">
        <v>712</v>
      </c>
      <c r="B174" s="63"/>
      <c r="C174" s="63">
        <v>42000</v>
      </c>
      <c r="D174" s="63"/>
      <c r="E174" s="63"/>
      <c r="F174" s="63"/>
      <c r="G174" s="63">
        <f>SUM(B174:F174)</f>
        <v>42000</v>
      </c>
      <c r="I174" s="51"/>
      <c r="J174" s="116"/>
      <c r="M174" s="57" t="s">
        <v>681</v>
      </c>
      <c r="N174" s="79">
        <v>121000</v>
      </c>
      <c r="O174" s="79">
        <v>123000</v>
      </c>
      <c r="P174" s="79">
        <v>133000</v>
      </c>
      <c r="Q174" s="76">
        <v>87000</v>
      </c>
      <c r="R174" s="79">
        <v>85500</v>
      </c>
      <c r="S174" s="505">
        <f>SUM(N174:R174)</f>
        <v>549500</v>
      </c>
      <c r="T174" s="269"/>
      <c r="U174" s="51"/>
      <c r="V174" s="51"/>
    </row>
    <row r="175" spans="1:22" x14ac:dyDescent="0.3">
      <c r="A175" s="51" t="s">
        <v>704</v>
      </c>
      <c r="B175" s="366">
        <f t="shared" ref="B175:G175" si="48">SUM(B171:B174)</f>
        <v>84000</v>
      </c>
      <c r="C175" s="366">
        <f t="shared" si="48"/>
        <v>126000</v>
      </c>
      <c r="D175" s="366">
        <f t="shared" si="48"/>
        <v>84000</v>
      </c>
      <c r="E175" s="366">
        <f t="shared" si="48"/>
        <v>43000</v>
      </c>
      <c r="F175" s="366">
        <f t="shared" si="48"/>
        <v>10000</v>
      </c>
      <c r="G175" s="366">
        <f t="shared" si="48"/>
        <v>347000</v>
      </c>
      <c r="H175" s="60"/>
      <c r="M175" s="57" t="s">
        <v>680</v>
      </c>
      <c r="N175" s="79"/>
      <c r="O175" s="79"/>
      <c r="P175" s="79"/>
      <c r="Q175" s="76">
        <v>30670</v>
      </c>
      <c r="R175" s="79"/>
      <c r="S175" s="505">
        <f>SUM(N175:R175)</f>
        <v>30670</v>
      </c>
      <c r="T175" s="269"/>
      <c r="U175" s="51"/>
    </row>
    <row r="176" spans="1:22" s="60" customFormat="1" ht="18" customHeight="1" thickBot="1" x14ac:dyDescent="0.35">
      <c r="A176" s="159" t="s">
        <v>713</v>
      </c>
      <c r="B176" s="502">
        <f t="shared" ref="B176:G176" si="49">+B168-B175</f>
        <v>222135.55169999972</v>
      </c>
      <c r="C176" s="502">
        <f t="shared" si="49"/>
        <v>279390.42669999972</v>
      </c>
      <c r="D176" s="502">
        <f t="shared" si="49"/>
        <v>329493.25119999982</v>
      </c>
      <c r="E176" s="502">
        <f t="shared" si="49"/>
        <v>7332.4721999997273</v>
      </c>
      <c r="F176" s="502">
        <f t="shared" si="49"/>
        <v>449.71069999970496</v>
      </c>
      <c r="G176" s="502">
        <f t="shared" si="49"/>
        <v>838801.41249999776</v>
      </c>
      <c r="H176" s="269"/>
      <c r="I176" s="51"/>
      <c r="J176" s="116"/>
      <c r="M176" s="57" t="s">
        <v>679</v>
      </c>
      <c r="N176" s="79">
        <v>632168</v>
      </c>
      <c r="O176" s="79">
        <v>1053541</v>
      </c>
      <c r="P176" s="79">
        <v>1537026</v>
      </c>
      <c r="Q176" s="76">
        <v>304871</v>
      </c>
      <c r="R176" s="79"/>
      <c r="S176" s="505">
        <f>SUM(N176:R176)</f>
        <v>3527606</v>
      </c>
      <c r="T176" s="269"/>
      <c r="U176" s="51"/>
      <c r="V176" s="51"/>
    </row>
    <row r="177" spans="1:22" s="60" customFormat="1" ht="11.25" customHeight="1" thickTop="1" thickBot="1" x14ac:dyDescent="0.35">
      <c r="B177" s="51"/>
      <c r="C177" s="51"/>
      <c r="D177" s="51"/>
      <c r="E177" s="51"/>
      <c r="F177" s="51"/>
      <c r="G177" s="51"/>
      <c r="H177" s="269"/>
      <c r="I177" s="51"/>
      <c r="J177" s="116"/>
      <c r="M177" s="412" t="s">
        <v>596</v>
      </c>
      <c r="N177" s="414">
        <f t="shared" ref="N177:S177" si="50">SUM(N170:N176)</f>
        <v>1570728.5640000002</v>
      </c>
      <c r="O177" s="414">
        <f t="shared" si="50"/>
        <v>2110646.5130000003</v>
      </c>
      <c r="P177" s="414">
        <f t="shared" si="50"/>
        <v>2661229.2620000001</v>
      </c>
      <c r="Q177" s="414">
        <f t="shared" si="50"/>
        <v>969289.79400000023</v>
      </c>
      <c r="R177" s="414">
        <f t="shared" si="50"/>
        <v>351892.62899999972</v>
      </c>
      <c r="S177" s="414">
        <f t="shared" si="50"/>
        <v>7663786.7619999982</v>
      </c>
      <c r="U177" s="51"/>
      <c r="V177" s="51"/>
    </row>
    <row r="178" spans="1:22" s="60" customFormat="1" ht="21.75" customHeight="1" thickTop="1" x14ac:dyDescent="0.3">
      <c r="A178" s="503" t="s">
        <v>683</v>
      </c>
      <c r="B178" s="515">
        <v>1754833</v>
      </c>
      <c r="C178" s="515">
        <v>2295203</v>
      </c>
      <c r="D178" s="515">
        <v>2913938</v>
      </c>
      <c r="E178" s="504">
        <v>1192874</v>
      </c>
      <c r="F178" s="515">
        <v>457355</v>
      </c>
      <c r="G178" s="516">
        <f>SUM(B178:F178)</f>
        <v>8614203</v>
      </c>
      <c r="H178" s="51"/>
      <c r="I178" s="51"/>
      <c r="J178" s="116"/>
      <c r="N178" s="87"/>
      <c r="O178" s="87"/>
      <c r="P178" s="87"/>
      <c r="Q178" s="87"/>
      <c r="R178" s="87"/>
      <c r="S178" s="87"/>
      <c r="U178" s="51"/>
      <c r="V178" s="51"/>
    </row>
    <row r="179" spans="1:22" s="51" customFormat="1" ht="13.5" customHeight="1" x14ac:dyDescent="0.3">
      <c r="A179" s="503" t="s">
        <v>596</v>
      </c>
      <c r="B179" s="504">
        <f t="shared" ref="B179:G179" si="51">+B178+B176</f>
        <v>1976968.5516999997</v>
      </c>
      <c r="C179" s="504">
        <f t="shared" si="51"/>
        <v>2574593.4266999997</v>
      </c>
      <c r="D179" s="504">
        <f t="shared" si="51"/>
        <v>3243431.2511999998</v>
      </c>
      <c r="E179" s="504">
        <f t="shared" si="51"/>
        <v>1200206.4721999997</v>
      </c>
      <c r="F179" s="504">
        <f t="shared" si="51"/>
        <v>457804.7106999997</v>
      </c>
      <c r="G179" s="504">
        <f t="shared" si="51"/>
        <v>9453004.4124999978</v>
      </c>
      <c r="J179" s="116"/>
      <c r="M179" s="57" t="s">
        <v>633</v>
      </c>
      <c r="N179" s="268">
        <f t="shared" ref="N179:S179" si="52">N167/N6</f>
        <v>9.5710239331082525E-2</v>
      </c>
      <c r="O179" s="268">
        <f t="shared" si="52"/>
        <v>9.803246199254953E-2</v>
      </c>
      <c r="P179" s="268">
        <f t="shared" si="52"/>
        <v>9.5125286178864205E-2</v>
      </c>
      <c r="Q179" s="268">
        <f t="shared" si="52"/>
        <v>9.3488087280478291E-2</v>
      </c>
      <c r="R179" s="268">
        <f t="shared" si="52"/>
        <v>0.11912726596391827</v>
      </c>
      <c r="S179" s="268">
        <f t="shared" si="52"/>
        <v>9.9423853831268075E-2</v>
      </c>
    </row>
    <row r="180" spans="1:22" ht="16.5" customHeight="1" x14ac:dyDescent="0.3">
      <c r="A180" s="503" t="s">
        <v>624</v>
      </c>
      <c r="B180" s="517">
        <f t="shared" ref="B180:G180" si="53">B179/(B166/365)</f>
        <v>172.79031692766657</v>
      </c>
      <c r="C180" s="517">
        <f t="shared" si="53"/>
        <v>217.24203465247834</v>
      </c>
      <c r="D180" s="517">
        <f t="shared" si="53"/>
        <v>255.48129421702245</v>
      </c>
      <c r="E180" s="517">
        <f t="shared" si="53"/>
        <v>144.64728176151581</v>
      </c>
      <c r="F180" s="517">
        <f t="shared" si="53"/>
        <v>57.878259586639814</v>
      </c>
      <c r="G180" s="517">
        <f t="shared" si="53"/>
        <v>181.10823299746733</v>
      </c>
      <c r="N180" s="268"/>
      <c r="O180" s="268"/>
      <c r="P180" s="268"/>
      <c r="Q180" s="268"/>
      <c r="R180" s="268"/>
      <c r="S180" s="268"/>
    </row>
    <row r="181" spans="1:22" ht="16.5" customHeight="1" x14ac:dyDescent="0.3">
      <c r="A181" s="503" t="s">
        <v>742</v>
      </c>
      <c r="B181" s="517">
        <f t="shared" ref="B181:G181" si="54">(B176+B165+B175)/B165</f>
        <v>2.0683532369681963</v>
      </c>
      <c r="C181" s="517">
        <f t="shared" si="54"/>
        <v>2.3543351330313227</v>
      </c>
      <c r="D181" s="517">
        <f t="shared" si="54"/>
        <v>2.1126835922910079</v>
      </c>
      <c r="E181" s="517">
        <f t="shared" si="54"/>
        <v>1.2568101198524408</v>
      </c>
      <c r="F181" s="517">
        <f t="shared" si="54"/>
        <v>1.0672759917850181</v>
      </c>
      <c r="G181" s="517">
        <f t="shared" si="54"/>
        <v>1.9060135546587269</v>
      </c>
      <c r="N181" s="268"/>
      <c r="O181" s="268"/>
      <c r="P181" s="268"/>
      <c r="Q181" s="268"/>
      <c r="R181" s="268"/>
      <c r="S181" s="268"/>
    </row>
    <row r="182" spans="1:22" s="60" customFormat="1" ht="13.5" customHeight="1" x14ac:dyDescent="0.3">
      <c r="A182" s="503" t="s">
        <v>633</v>
      </c>
      <c r="B182" s="525">
        <f>B165/B6</f>
        <v>7.4565628651204433E-2</v>
      </c>
      <c r="C182" s="525">
        <f>C165/C6</f>
        <v>7.3611249442065152E-2</v>
      </c>
      <c r="D182" s="525">
        <f>D165/D6</f>
        <v>8.4068596289849779E-2</v>
      </c>
      <c r="E182" s="525">
        <f>E165/E6</f>
        <v>7.3333458055825793E-2</v>
      </c>
      <c r="F182" s="525">
        <f>F165/F6</f>
        <v>6.048953663346595E-2</v>
      </c>
      <c r="G182" s="518">
        <f>+G180/G4</f>
        <v>8.8105660201727651E-2</v>
      </c>
      <c r="H182" s="51"/>
      <c r="I182" s="51"/>
      <c r="J182" s="116"/>
      <c r="M182" s="57"/>
      <c r="N182" s="57"/>
      <c r="O182" s="51"/>
      <c r="P182" s="51"/>
      <c r="Q182" s="57"/>
      <c r="R182" s="57"/>
      <c r="S182" s="57"/>
      <c r="T182" s="51"/>
      <c r="U182" s="57"/>
      <c r="V182" s="51"/>
    </row>
    <row r="183" spans="1:22" x14ac:dyDescent="0.3">
      <c r="A183" s="503" t="s">
        <v>621</v>
      </c>
      <c r="B183" s="503">
        <f t="shared" ref="B183:G183" si="55">+B138+B139+B140+B123+B124+B125+B126+B109+B111+B112+B113+B97+B98+B99+B100+B101+B82+B83+B84+B85+B86+B70+B71+B72+B73+B55+B56+B57+B58+B38+B43+B156+B157+B158+B159</f>
        <v>2495916.4482999998</v>
      </c>
      <c r="C183" s="503">
        <f t="shared" si="55"/>
        <v>2639035.5732999998</v>
      </c>
      <c r="D183" s="503">
        <f t="shared" si="55"/>
        <v>2996808.4687999999</v>
      </c>
      <c r="E183" s="503">
        <f t="shared" si="55"/>
        <v>2035861.5277999998</v>
      </c>
      <c r="F183" s="503">
        <f t="shared" si="55"/>
        <v>1771099.2893000001</v>
      </c>
      <c r="G183" s="503">
        <f t="shared" si="55"/>
        <v>11938721.307500001</v>
      </c>
      <c r="O183" s="57"/>
      <c r="P183" s="57"/>
    </row>
    <row r="184" spans="1:22" x14ac:dyDescent="0.3">
      <c r="A184" s="503" t="s">
        <v>622</v>
      </c>
      <c r="B184" s="518">
        <f t="shared" ref="B184:G184" si="56">+B183/B6</f>
        <v>0.64948605309518048</v>
      </c>
      <c r="C184" s="518">
        <f t="shared" si="56"/>
        <v>0.64899610418226727</v>
      </c>
      <c r="D184" s="518">
        <f t="shared" si="56"/>
        <v>0.67794746573510989</v>
      </c>
      <c r="E184" s="518">
        <f t="shared" si="56"/>
        <v>0.76175317211703952</v>
      </c>
      <c r="F184" s="518">
        <f t="shared" si="56"/>
        <v>0.68972982850017295</v>
      </c>
      <c r="G184" s="518">
        <f t="shared" si="56"/>
        <v>0.67949176696741487</v>
      </c>
    </row>
    <row r="185" spans="1:22" x14ac:dyDescent="0.3">
      <c r="A185" s="503" t="s">
        <v>744</v>
      </c>
      <c r="B185" s="518">
        <v>0.22</v>
      </c>
      <c r="C185" s="518">
        <v>0.23</v>
      </c>
      <c r="D185" s="518">
        <v>0.28999999999999998</v>
      </c>
      <c r="E185" s="518">
        <v>0.15</v>
      </c>
      <c r="F185" s="518">
        <v>0.11</v>
      </c>
      <c r="G185" s="518">
        <f>SUM(B185:F185)</f>
        <v>1</v>
      </c>
    </row>
    <row r="186" spans="1:22" x14ac:dyDescent="0.3">
      <c r="A186" s="503" t="s">
        <v>761</v>
      </c>
      <c r="B186" s="546" t="s">
        <v>765</v>
      </c>
      <c r="C186" s="546" t="s">
        <v>764</v>
      </c>
      <c r="D186" s="546" t="s">
        <v>763</v>
      </c>
      <c r="E186" s="546" t="s">
        <v>762</v>
      </c>
      <c r="F186" s="546" t="s">
        <v>766</v>
      </c>
      <c r="G186" s="546" t="s">
        <v>15</v>
      </c>
    </row>
    <row r="187" spans="1:22" ht="20.25" customHeight="1" x14ac:dyDescent="0.3"/>
    <row r="190" spans="1:22" ht="12" customHeight="1" x14ac:dyDescent="0.3"/>
    <row r="193" ht="3.6" customHeight="1" x14ac:dyDescent="0.3"/>
    <row r="198" ht="3" customHeight="1" x14ac:dyDescent="0.3"/>
  </sheetData>
  <pageMargins left="0.5" right="0.25" top="0.5" bottom="0.25" header="0.3" footer="0.3"/>
  <pageSetup orientation="portrait" r:id="rId1"/>
  <headerFooter>
    <oddHeader xml:space="preserve">&amp;CJames Irwin Charter Schools 
June 30, 2019 Year-end Projection
 </oddHeader>
    <oddFooter>&amp;L &amp;R&amp;P</oddFooter>
  </headerFooter>
  <rowBreaks count="2" manualBreakCount="2">
    <brk id="53" max="16383" man="1"/>
    <brk id="14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58"/>
  <sheetViews>
    <sheetView workbookViewId="0">
      <pane xSplit="2" ySplit="4" topLeftCell="C5" activePane="bottomRight" state="frozen"/>
      <selection pane="topRight" activeCell="B1" sqref="B1"/>
      <selection pane="bottomLeft" activeCell="A5" sqref="A5"/>
      <selection pane="bottomRight" activeCell="AB31" sqref="AB28:AB31"/>
    </sheetView>
  </sheetViews>
  <sheetFormatPr defaultRowHeight="14.4" x14ac:dyDescent="0.3"/>
  <cols>
    <col min="1" max="1" width="6.109375" customWidth="1"/>
    <col min="2" max="2" width="32.5546875" style="57" customWidth="1"/>
    <col min="3" max="3" width="11.109375" style="57" hidden="1" customWidth="1"/>
    <col min="4" max="4" width="12.5546875" style="57" customWidth="1"/>
    <col min="5" max="7" width="12.5546875" style="57" hidden="1" customWidth="1"/>
    <col min="8" max="8" width="11.6640625" style="57" hidden="1" customWidth="1"/>
    <col min="9" max="14" width="12.5546875" style="57" hidden="1" customWidth="1"/>
    <col min="15" max="15" width="11.5546875" style="57" customWidth="1"/>
    <col min="16" max="16" width="12" style="57" hidden="1" customWidth="1"/>
    <col min="17" max="18" width="15.33203125" style="57" hidden="1" customWidth="1"/>
    <col min="19" max="19" width="20.6640625" style="57" hidden="1" customWidth="1"/>
    <col min="20" max="21" width="15.33203125" style="58" hidden="1" customWidth="1"/>
    <col min="22" max="22" width="15.6640625" style="102" hidden="1" customWidth="1"/>
    <col min="23" max="23" width="22.5546875" hidden="1" customWidth="1"/>
    <col min="24" max="25" width="0" hidden="1" customWidth="1"/>
    <col min="26" max="26" width="27.5546875" customWidth="1"/>
    <col min="27" max="27" width="15.6640625" customWidth="1"/>
    <col min="28" max="28" width="19.5546875" customWidth="1"/>
  </cols>
  <sheetData>
    <row r="1" spans="2:26" x14ac:dyDescent="0.3">
      <c r="B1" s="160"/>
      <c r="C1" s="160"/>
      <c r="D1" s="160"/>
      <c r="E1" s="160"/>
      <c r="F1" s="160"/>
      <c r="G1" s="160"/>
      <c r="H1" s="160"/>
      <c r="I1" s="160"/>
      <c r="J1" s="160"/>
      <c r="K1" s="160"/>
      <c r="L1" s="160"/>
      <c r="M1" s="160"/>
      <c r="N1" s="160"/>
      <c r="O1" s="160"/>
      <c r="P1" s="595" t="s">
        <v>15</v>
      </c>
      <c r="Q1" s="595" t="s">
        <v>15</v>
      </c>
      <c r="R1" s="595" t="s">
        <v>15</v>
      </c>
      <c r="S1" s="595"/>
      <c r="T1" s="595"/>
      <c r="U1" s="595"/>
      <c r="V1" s="596">
        <v>285</v>
      </c>
      <c r="W1" s="597"/>
      <c r="X1" s="597"/>
      <c r="Y1" s="597"/>
      <c r="Z1" s="160"/>
    </row>
    <row r="2" spans="2:26" x14ac:dyDescent="0.3">
      <c r="B2" s="598" t="s">
        <v>495</v>
      </c>
      <c r="C2" s="498"/>
      <c r="D2" s="498"/>
      <c r="E2" s="498"/>
      <c r="F2" s="498"/>
      <c r="G2" s="498"/>
      <c r="H2" s="498"/>
      <c r="I2" s="498"/>
      <c r="J2" s="498"/>
      <c r="K2" s="498"/>
      <c r="L2" s="498"/>
      <c r="M2" s="498"/>
      <c r="N2" s="498"/>
      <c r="O2" s="599" t="s">
        <v>15</v>
      </c>
      <c r="P2" s="499">
        <v>7767</v>
      </c>
      <c r="Q2" s="499">
        <v>7607</v>
      </c>
      <c r="R2" s="499">
        <v>7314</v>
      </c>
      <c r="S2" s="499"/>
      <c r="T2" s="499"/>
      <c r="U2" s="499"/>
      <c r="V2" s="600">
        <f>7075.6*1.02</f>
        <v>7217.1120000000001</v>
      </c>
      <c r="W2" s="597"/>
      <c r="X2" s="597"/>
      <c r="Y2" s="597"/>
      <c r="Z2" s="599" t="s">
        <v>15</v>
      </c>
    </row>
    <row r="3" spans="2:26" x14ac:dyDescent="0.3">
      <c r="B3" s="598" t="s">
        <v>659</v>
      </c>
      <c r="C3" s="598"/>
      <c r="D3" s="598"/>
      <c r="E3" s="598"/>
      <c r="F3" s="598"/>
      <c r="G3" s="598"/>
      <c r="H3" s="598"/>
      <c r="I3" s="598"/>
      <c r="J3" s="598"/>
      <c r="K3" s="598"/>
      <c r="L3" s="598"/>
      <c r="M3" s="598"/>
      <c r="N3" s="598"/>
      <c r="O3" s="598" t="s">
        <v>15</v>
      </c>
      <c r="P3" s="499">
        <v>283</v>
      </c>
      <c r="Q3" s="499">
        <v>315</v>
      </c>
      <c r="R3" s="499">
        <v>237</v>
      </c>
      <c r="S3" s="499"/>
      <c r="T3" s="499"/>
      <c r="U3" s="499"/>
      <c r="V3" s="601">
        <v>250</v>
      </c>
      <c r="W3" s="597"/>
      <c r="X3" s="597"/>
      <c r="Y3" s="597"/>
      <c r="Z3" s="598" t="s">
        <v>15</v>
      </c>
    </row>
    <row r="4" spans="2:26" ht="27.6" customHeight="1" thickBot="1" x14ac:dyDescent="0.35">
      <c r="B4" s="602" t="s">
        <v>745</v>
      </c>
      <c r="C4" s="497" t="s">
        <v>608</v>
      </c>
      <c r="D4" s="497" t="s">
        <v>609</v>
      </c>
      <c r="E4" s="497" t="s">
        <v>610</v>
      </c>
      <c r="F4" s="497" t="s">
        <v>611</v>
      </c>
      <c r="G4" s="497" t="s">
        <v>550</v>
      </c>
      <c r="H4" s="497" t="s">
        <v>551</v>
      </c>
      <c r="I4" s="497" t="s">
        <v>552</v>
      </c>
      <c r="J4" s="497" t="s">
        <v>553</v>
      </c>
      <c r="K4" s="497" t="s">
        <v>554</v>
      </c>
      <c r="L4" s="497" t="s">
        <v>555</v>
      </c>
      <c r="M4" s="497" t="s">
        <v>556</v>
      </c>
      <c r="N4" s="497" t="s">
        <v>557</v>
      </c>
      <c r="O4" s="497" t="s">
        <v>494</v>
      </c>
      <c r="P4" s="603" t="s">
        <v>606</v>
      </c>
      <c r="Q4" s="603" t="s">
        <v>586</v>
      </c>
      <c r="R4" s="603" t="s">
        <v>585</v>
      </c>
      <c r="S4" s="603" t="s">
        <v>319</v>
      </c>
      <c r="T4" s="603"/>
      <c r="U4" s="603" t="s">
        <v>581</v>
      </c>
      <c r="V4" s="604" t="s">
        <v>547</v>
      </c>
      <c r="W4" s="605"/>
      <c r="X4" s="605"/>
      <c r="Y4" s="605"/>
      <c r="Z4" s="497" t="s">
        <v>772</v>
      </c>
    </row>
    <row r="5" spans="2:26" ht="43.5" customHeight="1" thickBot="1" x14ac:dyDescent="0.35">
      <c r="B5" s="260" t="s">
        <v>459</v>
      </c>
      <c r="C5" s="270" t="s">
        <v>15</v>
      </c>
      <c r="D5" s="270"/>
      <c r="E5" s="270"/>
      <c r="F5" s="270"/>
      <c r="G5" s="270"/>
      <c r="H5" s="270"/>
      <c r="I5" s="270"/>
      <c r="J5" s="270"/>
      <c r="K5" s="270"/>
      <c r="L5" s="270"/>
      <c r="M5" s="270"/>
      <c r="N5" s="270"/>
      <c r="O5" s="270"/>
      <c r="Q5" s="354"/>
      <c r="S5" s="58"/>
      <c r="V5" s="78"/>
      <c r="Z5" s="332"/>
    </row>
    <row r="6" spans="2:26" x14ac:dyDescent="0.3">
      <c r="B6" s="78" t="s">
        <v>656</v>
      </c>
      <c r="C6" s="79"/>
      <c r="D6" s="79"/>
      <c r="E6" s="79"/>
      <c r="F6" s="79"/>
      <c r="G6" s="79"/>
      <c r="H6" s="79"/>
      <c r="I6" s="79"/>
      <c r="J6" s="79"/>
      <c r="K6" s="79"/>
      <c r="L6" s="79"/>
      <c r="M6" s="79"/>
      <c r="N6" s="79"/>
      <c r="O6" s="79">
        <f>SUM(C6:N6)</f>
        <v>0</v>
      </c>
      <c r="P6" s="79">
        <v>2547648</v>
      </c>
      <c r="Q6" s="79">
        <v>2396066</v>
      </c>
      <c r="R6" s="79">
        <v>1733349</v>
      </c>
      <c r="S6" s="79"/>
      <c r="T6" s="79"/>
      <c r="U6" s="79"/>
      <c r="V6" s="79">
        <f>V1*V2</f>
        <v>2056876.92</v>
      </c>
      <c r="Z6" s="332"/>
    </row>
    <row r="7" spans="2:26" x14ac:dyDescent="0.3">
      <c r="B7" s="78" t="s">
        <v>63</v>
      </c>
      <c r="C7" s="77">
        <v>10854.87</v>
      </c>
      <c r="D7" s="81">
        <v>10339.879999999999</v>
      </c>
      <c r="E7" s="81"/>
      <c r="F7" s="81"/>
      <c r="G7" s="81"/>
      <c r="H7" s="81"/>
      <c r="I7" s="81"/>
      <c r="J7" s="81"/>
      <c r="K7" s="81"/>
      <c r="L7" s="81"/>
      <c r="M7" s="81"/>
      <c r="N7" s="81"/>
      <c r="O7" s="103">
        <f>SUM(C7:N7)</f>
        <v>21194.75</v>
      </c>
      <c r="P7" s="77">
        <v>98400</v>
      </c>
      <c r="Q7" s="77">
        <v>78750</v>
      </c>
      <c r="R7" s="77">
        <v>59250</v>
      </c>
      <c r="S7" s="77"/>
      <c r="T7" s="77"/>
      <c r="U7" s="77"/>
      <c r="V7" s="102">
        <v>71250</v>
      </c>
      <c r="Z7" s="334"/>
    </row>
    <row r="8" spans="2:26" ht="15" thickBot="1" x14ac:dyDescent="0.35">
      <c r="B8" s="159" t="s">
        <v>493</v>
      </c>
      <c r="C8" s="159">
        <f t="shared" ref="C8:R8" si="0">SUM(C6:C7)</f>
        <v>10854.87</v>
      </c>
      <c r="D8" s="159">
        <f t="shared" si="0"/>
        <v>10339.879999999999</v>
      </c>
      <c r="E8" s="159">
        <f t="shared" si="0"/>
        <v>0</v>
      </c>
      <c r="F8" s="159">
        <f t="shared" si="0"/>
        <v>0</v>
      </c>
      <c r="G8" s="159">
        <f t="shared" si="0"/>
        <v>0</v>
      </c>
      <c r="H8" s="159">
        <f t="shared" si="0"/>
        <v>0</v>
      </c>
      <c r="I8" s="159">
        <f t="shared" si="0"/>
        <v>0</v>
      </c>
      <c r="J8" s="159">
        <f t="shared" si="0"/>
        <v>0</v>
      </c>
      <c r="K8" s="159">
        <f t="shared" si="0"/>
        <v>0</v>
      </c>
      <c r="L8" s="159">
        <f t="shared" si="0"/>
        <v>0</v>
      </c>
      <c r="M8" s="159">
        <f t="shared" si="0"/>
        <v>0</v>
      </c>
      <c r="N8" s="159">
        <f t="shared" si="0"/>
        <v>0</v>
      </c>
      <c r="O8" s="159">
        <f t="shared" si="0"/>
        <v>21194.75</v>
      </c>
      <c r="P8" s="316">
        <f t="shared" si="0"/>
        <v>2646048</v>
      </c>
      <c r="Q8" s="316">
        <f t="shared" si="0"/>
        <v>2474816</v>
      </c>
      <c r="R8" s="316">
        <f t="shared" si="0"/>
        <v>1792599</v>
      </c>
      <c r="S8" s="55"/>
      <c r="T8" s="55"/>
      <c r="U8" s="55"/>
      <c r="V8" s="108">
        <f>SUM(V6:V7)</f>
        <v>2128126.92</v>
      </c>
      <c r="Z8" s="609">
        <v>0</v>
      </c>
    </row>
    <row r="9" spans="2:26" ht="15.6" thickTop="1" thickBot="1" x14ac:dyDescent="0.35">
      <c r="B9" s="260" t="s">
        <v>463</v>
      </c>
      <c r="C9" s="259"/>
      <c r="D9" s="259"/>
      <c r="E9" s="259"/>
      <c r="F9" s="259"/>
      <c r="G9" s="259"/>
      <c r="H9" s="259"/>
      <c r="I9" s="259"/>
      <c r="J9" s="259"/>
      <c r="K9" s="259"/>
      <c r="L9" s="259"/>
      <c r="M9" s="259"/>
      <c r="N9" s="259"/>
      <c r="O9" s="259"/>
      <c r="P9" s="259"/>
      <c r="Q9" s="259"/>
      <c r="R9" s="259"/>
      <c r="S9" s="378"/>
      <c r="T9" s="378"/>
      <c r="U9" s="378"/>
      <c r="V9" s="78"/>
      <c r="Z9" s="332"/>
    </row>
    <row r="10" spans="2:26" s="195" customFormat="1" x14ac:dyDescent="0.3">
      <c r="B10" s="51"/>
      <c r="C10" s="188"/>
      <c r="D10" s="188"/>
      <c r="E10" s="188"/>
      <c r="F10" s="188"/>
      <c r="G10" s="188"/>
      <c r="H10" s="188"/>
      <c r="I10" s="188"/>
      <c r="J10" s="188"/>
      <c r="K10" s="188"/>
      <c r="L10" s="188"/>
      <c r="M10" s="188"/>
      <c r="N10" s="188"/>
      <c r="O10" s="188"/>
      <c r="P10" s="188"/>
      <c r="Q10" s="188"/>
      <c r="R10" s="188"/>
      <c r="S10" s="375"/>
      <c r="T10" s="375"/>
      <c r="U10" s="375"/>
      <c r="V10" s="79">
        <v>0</v>
      </c>
      <c r="Z10" s="400"/>
    </row>
    <row r="11" spans="2:26" s="195" customFormat="1" x14ac:dyDescent="0.3">
      <c r="B11" s="128" t="s">
        <v>65</v>
      </c>
      <c r="C11" s="51"/>
      <c r="D11" s="51"/>
      <c r="E11" s="51"/>
      <c r="F11" s="51"/>
      <c r="G11" s="51"/>
      <c r="H11" s="51"/>
      <c r="I11" s="51"/>
      <c r="J11" s="51"/>
      <c r="K11" s="51"/>
      <c r="L11" s="51"/>
      <c r="M11" s="51"/>
      <c r="N11" s="51"/>
      <c r="O11" s="51"/>
      <c r="P11" s="51"/>
      <c r="Q11" s="51"/>
      <c r="R11" s="51"/>
      <c r="S11" s="58"/>
      <c r="T11" s="58"/>
      <c r="U11" s="58"/>
      <c r="V11" s="79">
        <v>500</v>
      </c>
      <c r="Z11" s="400"/>
    </row>
    <row r="12" spans="2:26" s="195" customFormat="1" x14ac:dyDescent="0.3">
      <c r="B12" s="78" t="s">
        <v>657</v>
      </c>
      <c r="C12" s="51"/>
      <c r="D12" s="51"/>
      <c r="E12" s="51"/>
      <c r="F12" s="51"/>
      <c r="G12" s="51"/>
      <c r="H12" s="51"/>
      <c r="I12" s="51"/>
      <c r="J12" s="51"/>
      <c r="K12" s="51"/>
      <c r="L12" s="51"/>
      <c r="M12" s="51"/>
      <c r="N12" s="51"/>
      <c r="O12" s="79">
        <f>SUM(C12:N12)</f>
        <v>0</v>
      </c>
      <c r="P12" s="51">
        <v>20000</v>
      </c>
      <c r="Q12" s="51">
        <v>30000</v>
      </c>
      <c r="R12" s="51">
        <v>16947</v>
      </c>
      <c r="S12" s="58"/>
      <c r="T12" s="58"/>
      <c r="U12" s="58"/>
      <c r="V12" s="79">
        <f>5000+1500</f>
        <v>6500</v>
      </c>
      <c r="Z12" s="400">
        <f>6300000-1556692</f>
        <v>4743308</v>
      </c>
    </row>
    <row r="13" spans="2:26" s="195" customFormat="1" x14ac:dyDescent="0.3">
      <c r="B13" s="78" t="s">
        <v>658</v>
      </c>
      <c r="C13" s="63">
        <v>1322</v>
      </c>
      <c r="D13" s="63">
        <v>291957.2</v>
      </c>
      <c r="E13" s="63"/>
      <c r="F13" s="63"/>
      <c r="G13" s="63"/>
      <c r="H13" s="63"/>
      <c r="I13" s="63"/>
      <c r="J13" s="63">
        <v>0</v>
      </c>
      <c r="K13" s="63"/>
      <c r="L13" s="63"/>
      <c r="M13" s="63"/>
      <c r="N13" s="63"/>
      <c r="O13" s="103">
        <f>SUM(C13:N13)</f>
        <v>293279.2</v>
      </c>
      <c r="P13" s="63">
        <v>45000</v>
      </c>
      <c r="Q13" s="63">
        <v>45000</v>
      </c>
      <c r="R13" s="63">
        <v>60000</v>
      </c>
      <c r="S13" s="58"/>
      <c r="T13" s="58"/>
      <c r="U13" s="58"/>
      <c r="V13" s="78">
        <v>4000</v>
      </c>
      <c r="Z13" s="607">
        <f>1556692-1006007</f>
        <v>550685</v>
      </c>
    </row>
    <row r="14" spans="2:26" s="195" customFormat="1" x14ac:dyDescent="0.3">
      <c r="B14" s="2" t="s">
        <v>577</v>
      </c>
      <c r="C14" s="2">
        <f t="shared" ref="C14:I14" si="1">SUM(C12:C13)</f>
        <v>1322</v>
      </c>
      <c r="D14" s="2">
        <f t="shared" si="1"/>
        <v>291957.2</v>
      </c>
      <c r="E14" s="2">
        <f t="shared" si="1"/>
        <v>0</v>
      </c>
      <c r="F14" s="2">
        <f t="shared" si="1"/>
        <v>0</v>
      </c>
      <c r="G14" s="2">
        <f t="shared" si="1"/>
        <v>0</v>
      </c>
      <c r="H14" s="2">
        <f t="shared" si="1"/>
        <v>0</v>
      </c>
      <c r="I14" s="2">
        <f t="shared" si="1"/>
        <v>0</v>
      </c>
      <c r="J14" s="2">
        <f t="shared" ref="J14:O14" si="2">SUM(J12:J13)</f>
        <v>0</v>
      </c>
      <c r="K14" s="2">
        <f t="shared" si="2"/>
        <v>0</v>
      </c>
      <c r="L14" s="2">
        <f t="shared" si="2"/>
        <v>0</v>
      </c>
      <c r="M14" s="2">
        <f t="shared" si="2"/>
        <v>0</v>
      </c>
      <c r="N14" s="2">
        <f t="shared" si="2"/>
        <v>0</v>
      </c>
      <c r="O14" s="2">
        <f t="shared" si="2"/>
        <v>293279.2</v>
      </c>
      <c r="P14" s="2">
        <f>SUM(P12:P13)</f>
        <v>65000</v>
      </c>
      <c r="Q14" s="2">
        <f>SUM(Q12:Q13)</f>
        <v>75000</v>
      </c>
      <c r="R14" s="2">
        <f>SUM(R12:R13)</f>
        <v>76947</v>
      </c>
      <c r="S14" s="105"/>
      <c r="T14" s="105"/>
      <c r="U14" s="105"/>
      <c r="V14" s="78">
        <v>5000</v>
      </c>
      <c r="Z14" s="608">
        <f>SUM(Z12:Z13)</f>
        <v>5293993</v>
      </c>
    </row>
    <row r="15" spans="2:26" s="195" customFormat="1" ht="9" customHeight="1" x14ac:dyDescent="0.3">
      <c r="B15" s="51"/>
      <c r="C15" s="51"/>
      <c r="D15" s="51"/>
      <c r="E15" s="51"/>
      <c r="F15" s="51"/>
      <c r="G15" s="51"/>
      <c r="H15" s="51"/>
      <c r="I15" s="51"/>
      <c r="J15" s="51"/>
      <c r="K15" s="51"/>
      <c r="L15" s="51"/>
      <c r="M15" s="51"/>
      <c r="N15" s="51"/>
      <c r="O15" s="51"/>
      <c r="P15" s="51"/>
      <c r="Q15" s="51"/>
      <c r="R15" s="51"/>
      <c r="S15" s="58"/>
      <c r="T15" s="58"/>
      <c r="U15" s="58"/>
      <c r="V15" s="79">
        <v>8000</v>
      </c>
      <c r="Z15" s="400"/>
    </row>
    <row r="16" spans="2:26" x14ac:dyDescent="0.3">
      <c r="C16" s="376"/>
      <c r="D16" s="376"/>
      <c r="E16" s="376"/>
      <c r="F16" s="376"/>
      <c r="G16" s="376"/>
      <c r="H16" s="376"/>
      <c r="I16" s="376" t="s">
        <v>15</v>
      </c>
      <c r="J16" s="376"/>
      <c r="K16" s="376"/>
      <c r="L16" s="376"/>
      <c r="M16" s="376"/>
      <c r="N16" s="376"/>
      <c r="O16" s="376"/>
      <c r="P16" s="376"/>
      <c r="Q16" s="87" t="s">
        <v>15</v>
      </c>
      <c r="R16" s="376"/>
      <c r="S16" s="375"/>
      <c r="T16" s="375"/>
      <c r="U16" s="375"/>
      <c r="V16" s="103">
        <v>15000</v>
      </c>
      <c r="Z16" s="332"/>
    </row>
    <row r="17" spans="2:26" x14ac:dyDescent="0.3">
      <c r="B17" s="159" t="s">
        <v>54</v>
      </c>
      <c r="C17" s="219">
        <f>SUM(C12:C13)</f>
        <v>1322</v>
      </c>
      <c r="D17" s="220">
        <f t="shared" ref="D17:I17" si="3">SUM(D15:D16)</f>
        <v>0</v>
      </c>
      <c r="E17" s="220">
        <f t="shared" si="3"/>
        <v>0</v>
      </c>
      <c r="F17" s="220">
        <f t="shared" si="3"/>
        <v>0</v>
      </c>
      <c r="G17" s="220">
        <f t="shared" si="3"/>
        <v>0</v>
      </c>
      <c r="H17" s="220">
        <f t="shared" si="3"/>
        <v>0</v>
      </c>
      <c r="I17" s="220">
        <f t="shared" si="3"/>
        <v>0</v>
      </c>
      <c r="J17" s="220">
        <f>SUM(J14)</f>
        <v>0</v>
      </c>
      <c r="K17" s="220">
        <f>SUM(K14)</f>
        <v>0</v>
      </c>
      <c r="L17" s="220">
        <f>SUM(L14)</f>
        <v>0</v>
      </c>
      <c r="M17" s="220">
        <f>SUM(M14)</f>
        <v>0</v>
      </c>
      <c r="N17" s="220">
        <f>SUM(N14)</f>
        <v>0</v>
      </c>
      <c r="O17" s="220">
        <f>SUM(O12:O13)</f>
        <v>293279.2</v>
      </c>
      <c r="P17" s="326" t="e">
        <f>+#REF!+#REF!+#REF!+P14+#REF!+#REF!+#REF!+#REF!+#REF!+#REF!</f>
        <v>#REF!</v>
      </c>
      <c r="Q17" s="326" t="e">
        <f>+#REF!+#REF!+#REF!+Q14+#REF!+#REF!+#REF!+#REF!+#REF!+#REF!</f>
        <v>#REF!</v>
      </c>
      <c r="R17" s="326" t="e">
        <f>+#REF!+#REF!+#REF!+R14+#REF!+#REF!+#REF!+#REF!+#REF!+#REF!</f>
        <v>#REF!</v>
      </c>
      <c r="S17" s="84" t="s">
        <v>15</v>
      </c>
      <c r="T17" s="84"/>
      <c r="U17" s="84"/>
      <c r="V17" s="257">
        <f>SUM(V16:V16)</f>
        <v>15000</v>
      </c>
      <c r="W17" s="610"/>
      <c r="X17" s="610"/>
      <c r="Y17" s="610"/>
      <c r="Z17" s="611">
        <f>+Z14</f>
        <v>5293993</v>
      </c>
    </row>
    <row r="18" spans="2:26" ht="12" customHeight="1" x14ac:dyDescent="0.3">
      <c r="C18" s="265"/>
      <c r="D18" s="265"/>
      <c r="E18" s="265"/>
      <c r="F18" s="265"/>
      <c r="G18" s="265"/>
      <c r="H18" s="265"/>
      <c r="I18" s="265"/>
      <c r="J18" s="265"/>
      <c r="K18" s="265"/>
      <c r="L18" s="265"/>
      <c r="M18" s="265"/>
      <c r="N18" s="265"/>
      <c r="O18" s="265"/>
      <c r="P18" s="265"/>
      <c r="Q18" s="265"/>
      <c r="R18" s="265"/>
      <c r="S18" s="375"/>
      <c r="T18" s="375"/>
      <c r="U18" s="375"/>
      <c r="V18" s="78"/>
      <c r="Z18" s="332"/>
    </row>
    <row r="19" spans="2:26" ht="15" thickBot="1" x14ac:dyDescent="0.35">
      <c r="B19" s="159" t="s">
        <v>482</v>
      </c>
      <c r="C19" s="606">
        <f>C8-C17</f>
        <v>9532.8700000000008</v>
      </c>
      <c r="D19" s="606">
        <f t="shared" ref="D19:O19" si="4">+D8-D17</f>
        <v>10339.879999999999</v>
      </c>
      <c r="E19" s="606">
        <f t="shared" si="4"/>
        <v>0</v>
      </c>
      <c r="F19" s="606">
        <f t="shared" si="4"/>
        <v>0</v>
      </c>
      <c r="G19" s="606">
        <f t="shared" si="4"/>
        <v>0</v>
      </c>
      <c r="H19" s="606">
        <f t="shared" si="4"/>
        <v>0</v>
      </c>
      <c r="I19" s="606">
        <f t="shared" si="4"/>
        <v>0</v>
      </c>
      <c r="J19" s="606">
        <f t="shared" si="4"/>
        <v>0</v>
      </c>
      <c r="K19" s="606">
        <f t="shared" si="4"/>
        <v>0</v>
      </c>
      <c r="L19" s="606">
        <f t="shared" si="4"/>
        <v>0</v>
      </c>
      <c r="M19" s="606">
        <f t="shared" si="4"/>
        <v>0</v>
      </c>
      <c r="N19" s="606">
        <f t="shared" si="4"/>
        <v>0</v>
      </c>
      <c r="O19" s="606">
        <f t="shared" si="4"/>
        <v>-272084.45</v>
      </c>
      <c r="P19" s="328" t="e">
        <f>P8-P17</f>
        <v>#REF!</v>
      </c>
      <c r="Q19" s="328" t="e">
        <f>Q8-Q17</f>
        <v>#REF!</v>
      </c>
      <c r="R19" s="328" t="e">
        <f>R8-R17</f>
        <v>#REF!</v>
      </c>
      <c r="S19" s="87"/>
      <c r="T19" s="87"/>
      <c r="U19" s="87"/>
      <c r="V19" s="212">
        <v>310000</v>
      </c>
      <c r="Z19" s="606">
        <f>+Z8-Z17</f>
        <v>-5293993</v>
      </c>
    </row>
    <row r="20" spans="2:26" ht="12.75" customHeight="1" thickTop="1" x14ac:dyDescent="0.3">
      <c r="P20" s="265"/>
      <c r="Q20" s="265"/>
      <c r="R20" s="265"/>
      <c r="S20" s="375"/>
      <c r="T20" s="375"/>
      <c r="U20" s="375"/>
      <c r="V20" s="78"/>
    </row>
    <row r="21" spans="2:26" x14ac:dyDescent="0.3">
      <c r="B21" s="62"/>
      <c r="C21" s="62"/>
      <c r="D21" s="62"/>
      <c r="E21" s="62"/>
      <c r="F21" s="62"/>
      <c r="G21" s="62"/>
      <c r="H21" s="62"/>
      <c r="I21" s="62"/>
      <c r="J21" s="62"/>
      <c r="K21" s="62"/>
      <c r="L21" s="62"/>
      <c r="M21" s="62"/>
      <c r="N21" s="62"/>
      <c r="O21" s="62"/>
      <c r="P21" s="257">
        <v>284110</v>
      </c>
      <c r="Q21" s="257">
        <v>91582</v>
      </c>
      <c r="R21" s="257">
        <v>77516</v>
      </c>
      <c r="S21" s="105"/>
      <c r="T21" s="105"/>
      <c r="U21" s="105"/>
      <c r="V21" s="326" t="e">
        <f>+V19+V17+#REF!+#REF!+#REF!+#REF!+#REF!+#REF!+#REF!+#REF!</f>
        <v>#REF!</v>
      </c>
    </row>
    <row r="22" spans="2:26" ht="15" thickBot="1" x14ac:dyDescent="0.35">
      <c r="B22" s="62"/>
      <c r="C22" s="62"/>
      <c r="D22" s="62"/>
      <c r="E22" s="62"/>
      <c r="F22" s="62"/>
      <c r="G22" s="62"/>
      <c r="H22" s="62"/>
      <c r="I22" s="62"/>
      <c r="J22" s="62"/>
      <c r="K22" s="62"/>
      <c r="L22" s="62"/>
      <c r="M22" s="62"/>
      <c r="N22" s="62"/>
      <c r="O22" s="62"/>
      <c r="P22" s="266" t="e">
        <f>+P21+P19</f>
        <v>#REF!</v>
      </c>
      <c r="Q22" s="266" t="e">
        <f>+Q21+Q19</f>
        <v>#REF!</v>
      </c>
      <c r="R22" s="266" t="e">
        <f>+R21+R19</f>
        <v>#REF!</v>
      </c>
      <c r="S22" s="388"/>
      <c r="T22" s="87"/>
      <c r="U22" s="87"/>
      <c r="V22" s="78"/>
    </row>
    <row r="23" spans="2:26" ht="15.6" thickTop="1" thickBot="1" x14ac:dyDescent="0.35">
      <c r="V23" s="328" t="e">
        <f>V8-V21</f>
        <v>#REF!</v>
      </c>
    </row>
    <row r="24" spans="2:26" ht="15" thickTop="1" x14ac:dyDescent="0.3">
      <c r="B24" s="62"/>
      <c r="C24" s="62"/>
      <c r="D24" s="62"/>
      <c r="E24" s="62"/>
      <c r="F24" s="62"/>
      <c r="G24" s="62"/>
      <c r="H24" s="62"/>
      <c r="I24" s="62"/>
      <c r="J24" s="62"/>
      <c r="K24" s="62"/>
      <c r="L24" s="62"/>
      <c r="M24" s="62"/>
      <c r="N24" s="62"/>
      <c r="O24" s="62"/>
      <c r="V24" s="78"/>
    </row>
    <row r="25" spans="2:26" x14ac:dyDescent="0.3">
      <c r="V25" s="212" t="s">
        <v>15</v>
      </c>
    </row>
    <row r="26" spans="2:26" x14ac:dyDescent="0.3">
      <c r="B26" s="51"/>
      <c r="C26" s="51"/>
      <c r="D26" s="51"/>
      <c r="E26" s="51"/>
      <c r="F26" s="51"/>
      <c r="G26" s="51"/>
      <c r="H26" s="51"/>
      <c r="I26" s="51"/>
      <c r="J26" s="51"/>
      <c r="K26" s="51"/>
      <c r="L26" s="51"/>
      <c r="M26" s="51"/>
      <c r="N26" s="51"/>
      <c r="O26" s="51"/>
      <c r="P26" s="51"/>
      <c r="Q26" s="51"/>
      <c r="R26" s="51"/>
      <c r="S26" s="51"/>
      <c r="V26" s="105"/>
    </row>
    <row r="27" spans="2:26" x14ac:dyDescent="0.3">
      <c r="V27" s="105"/>
    </row>
    <row r="28" spans="2:26" x14ac:dyDescent="0.3">
      <c r="P28" s="268"/>
      <c r="Q28" s="268"/>
      <c r="R28" s="268"/>
      <c r="S28" s="268"/>
      <c r="T28" s="344"/>
      <c r="U28" s="344"/>
      <c r="V28" s="105"/>
    </row>
    <row r="29" spans="2:26" x14ac:dyDescent="0.3">
      <c r="P29" s="268"/>
      <c r="Q29" s="268"/>
      <c r="R29" s="268"/>
      <c r="S29" s="268"/>
      <c r="T29" s="344"/>
      <c r="U29" s="344"/>
      <c r="V29" s="105"/>
    </row>
    <row r="30" spans="2:26" x14ac:dyDescent="0.3">
      <c r="V30" s="111"/>
    </row>
    <row r="31" spans="2:26" x14ac:dyDescent="0.3">
      <c r="P31" s="268"/>
      <c r="Q31" s="268"/>
      <c r="R31" s="268"/>
      <c r="S31" s="268"/>
      <c r="T31" s="344"/>
      <c r="U31" s="344"/>
      <c r="V31" s="387"/>
    </row>
    <row r="32" spans="2:26" x14ac:dyDescent="0.3">
      <c r="P32" s="268"/>
      <c r="Q32" s="268"/>
      <c r="R32" s="268"/>
      <c r="S32" s="268"/>
      <c r="T32" s="344"/>
      <c r="U32" s="344"/>
      <c r="V32" s="79"/>
    </row>
    <row r="33" spans="16:22" x14ac:dyDescent="0.3">
      <c r="V33" s="79"/>
    </row>
    <row r="34" spans="16:22" x14ac:dyDescent="0.3">
      <c r="V34" s="79"/>
    </row>
    <row r="35" spans="16:22" x14ac:dyDescent="0.3">
      <c r="V35" s="78"/>
    </row>
    <row r="36" spans="16:22" x14ac:dyDescent="0.3">
      <c r="P36" s="262"/>
      <c r="Q36" s="262"/>
      <c r="R36" s="262"/>
      <c r="S36" s="262"/>
      <c r="T36" s="76"/>
      <c r="U36" s="76"/>
      <c r="V36" s="78"/>
    </row>
    <row r="37" spans="16:22" x14ac:dyDescent="0.3">
      <c r="P37" s="262"/>
      <c r="Q37" s="262"/>
      <c r="R37" s="262"/>
      <c r="S37" s="262"/>
      <c r="T37" s="76"/>
      <c r="U37" s="76"/>
      <c r="V37" s="78"/>
    </row>
    <row r="38" spans="16:22" x14ac:dyDescent="0.3">
      <c r="V38" s="78"/>
    </row>
    <row r="39" spans="16:22" x14ac:dyDescent="0.3">
      <c r="P39" s="122"/>
      <c r="Q39" s="122"/>
      <c r="R39" s="122"/>
      <c r="S39" s="122"/>
      <c r="T39" s="390"/>
      <c r="U39" s="390"/>
      <c r="V39" s="78"/>
    </row>
    <row r="40" spans="16:22" x14ac:dyDescent="0.3">
      <c r="V40" s="78"/>
    </row>
    <row r="41" spans="16:22" x14ac:dyDescent="0.3">
      <c r="V41" s="78"/>
    </row>
    <row r="42" spans="16:22" x14ac:dyDescent="0.3">
      <c r="V42" s="78"/>
    </row>
    <row r="43" spans="16:22" x14ac:dyDescent="0.3">
      <c r="V43" s="78"/>
    </row>
    <row r="44" spans="16:22" x14ac:dyDescent="0.3">
      <c r="V44" s="78"/>
    </row>
    <row r="45" spans="16:22" x14ac:dyDescent="0.3">
      <c r="V45" s="78"/>
    </row>
    <row r="46" spans="16:22" x14ac:dyDescent="0.3">
      <c r="V46" s="78"/>
    </row>
    <row r="47" spans="16:22" x14ac:dyDescent="0.3">
      <c r="V47" s="78"/>
    </row>
    <row r="48" spans="16:22" x14ac:dyDescent="0.3">
      <c r="V48" s="78"/>
    </row>
    <row r="49" spans="22:22" x14ac:dyDescent="0.3">
      <c r="V49" s="78"/>
    </row>
    <row r="50" spans="22:22" x14ac:dyDescent="0.3">
      <c r="V50" s="78"/>
    </row>
    <row r="51" spans="22:22" x14ac:dyDescent="0.3">
      <c r="V51" s="78"/>
    </row>
    <row r="52" spans="22:22" x14ac:dyDescent="0.3">
      <c r="V52" s="78"/>
    </row>
    <row r="53" spans="22:22" x14ac:dyDescent="0.3">
      <c r="V53" s="78"/>
    </row>
    <row r="54" spans="22:22" x14ac:dyDescent="0.3">
      <c r="V54" s="78"/>
    </row>
    <row r="55" spans="22:22" x14ac:dyDescent="0.3">
      <c r="V55" s="78"/>
    </row>
    <row r="56" spans="22:22" x14ac:dyDescent="0.3">
      <c r="V56" s="78"/>
    </row>
    <row r="57" spans="22:22" x14ac:dyDescent="0.3">
      <c r="V57" s="78"/>
    </row>
    <row r="58" spans="22:22" x14ac:dyDescent="0.3">
      <c r="V58" s="78"/>
    </row>
    <row r="59" spans="22:22" x14ac:dyDescent="0.3">
      <c r="V59" s="78"/>
    </row>
    <row r="60" spans="22:22" x14ac:dyDescent="0.3">
      <c r="V60" s="78"/>
    </row>
    <row r="61" spans="22:22" x14ac:dyDescent="0.3">
      <c r="V61" s="78"/>
    </row>
    <row r="62" spans="22:22" x14ac:dyDescent="0.3">
      <c r="V62" s="78"/>
    </row>
    <row r="63" spans="22:22" x14ac:dyDescent="0.3">
      <c r="V63" s="78"/>
    </row>
    <row r="64" spans="22:22" x14ac:dyDescent="0.3">
      <c r="V64" s="78"/>
    </row>
    <row r="65" spans="22:22" x14ac:dyDescent="0.3">
      <c r="V65" s="78"/>
    </row>
    <row r="66" spans="22:22" x14ac:dyDescent="0.3">
      <c r="V66" s="78"/>
    </row>
    <row r="67" spans="22:22" x14ac:dyDescent="0.3">
      <c r="V67" s="78"/>
    </row>
    <row r="68" spans="22:22" x14ac:dyDescent="0.3">
      <c r="V68" s="78"/>
    </row>
    <row r="69" spans="22:22" x14ac:dyDescent="0.3">
      <c r="V69" s="78"/>
    </row>
    <row r="70" spans="22:22" x14ac:dyDescent="0.3">
      <c r="V70" s="78"/>
    </row>
    <row r="71" spans="22:22" x14ac:dyDescent="0.3">
      <c r="V71" s="78"/>
    </row>
    <row r="72" spans="22:22" x14ac:dyDescent="0.3">
      <c r="V72" s="78"/>
    </row>
    <row r="73" spans="22:22" x14ac:dyDescent="0.3">
      <c r="V73" s="78"/>
    </row>
    <row r="74" spans="22:22" x14ac:dyDescent="0.3">
      <c r="V74" s="78"/>
    </row>
    <row r="75" spans="22:22" x14ac:dyDescent="0.3">
      <c r="V75" s="78"/>
    </row>
    <row r="76" spans="22:22" x14ac:dyDescent="0.3">
      <c r="V76" s="78"/>
    </row>
    <row r="77" spans="22:22" x14ac:dyDescent="0.3">
      <c r="V77" s="78"/>
    </row>
    <row r="78" spans="22:22" x14ac:dyDescent="0.3">
      <c r="V78" s="78"/>
    </row>
    <row r="79" spans="22:22" x14ac:dyDescent="0.3">
      <c r="V79" s="78"/>
    </row>
    <row r="80" spans="22:22" x14ac:dyDescent="0.3">
      <c r="V80" s="78"/>
    </row>
    <row r="81" spans="22:22" x14ac:dyDescent="0.3">
      <c r="V81" s="78"/>
    </row>
    <row r="82" spans="22:22" x14ac:dyDescent="0.3">
      <c r="V82" s="78"/>
    </row>
    <row r="83" spans="22:22" x14ac:dyDescent="0.3">
      <c r="V83" s="78"/>
    </row>
    <row r="84" spans="22:22" x14ac:dyDescent="0.3">
      <c r="V84" s="78"/>
    </row>
    <row r="85" spans="22:22" x14ac:dyDescent="0.3">
      <c r="V85" s="78"/>
    </row>
    <row r="86" spans="22:22" x14ac:dyDescent="0.3">
      <c r="V86" s="78"/>
    </row>
    <row r="87" spans="22:22" x14ac:dyDescent="0.3">
      <c r="V87" s="78"/>
    </row>
    <row r="88" spans="22:22" x14ac:dyDescent="0.3">
      <c r="V88" s="78"/>
    </row>
    <row r="89" spans="22:22" x14ac:dyDescent="0.3">
      <c r="V89" s="78"/>
    </row>
    <row r="90" spans="22:22" x14ac:dyDescent="0.3">
      <c r="V90" s="78"/>
    </row>
    <row r="91" spans="22:22" x14ac:dyDescent="0.3">
      <c r="V91" s="78"/>
    </row>
    <row r="92" spans="22:22" x14ac:dyDescent="0.3">
      <c r="V92" s="78"/>
    </row>
    <row r="93" spans="22:22" x14ac:dyDescent="0.3">
      <c r="V93" s="78"/>
    </row>
    <row r="94" spans="22:22" x14ac:dyDescent="0.3">
      <c r="V94" s="78"/>
    </row>
    <row r="95" spans="22:22" x14ac:dyDescent="0.3">
      <c r="V95" s="78"/>
    </row>
    <row r="96" spans="22:22" x14ac:dyDescent="0.3">
      <c r="V96" s="78"/>
    </row>
    <row r="97" spans="22:22" x14ac:dyDescent="0.3">
      <c r="V97" s="78"/>
    </row>
    <row r="98" spans="22:22" x14ac:dyDescent="0.3">
      <c r="V98" s="78"/>
    </row>
    <row r="99" spans="22:22" x14ac:dyDescent="0.3">
      <c r="V99" s="78"/>
    </row>
    <row r="100" spans="22:22" x14ac:dyDescent="0.3">
      <c r="V100" s="78"/>
    </row>
    <row r="101" spans="22:22" x14ac:dyDescent="0.3">
      <c r="V101" s="78"/>
    </row>
    <row r="102" spans="22:22" x14ac:dyDescent="0.3">
      <c r="V102" s="78"/>
    </row>
    <row r="103" spans="22:22" x14ac:dyDescent="0.3">
      <c r="V103" s="78"/>
    </row>
    <row r="104" spans="22:22" x14ac:dyDescent="0.3">
      <c r="V104" s="78"/>
    </row>
    <row r="105" spans="22:22" x14ac:dyDescent="0.3">
      <c r="V105" s="78"/>
    </row>
    <row r="106" spans="22:22" x14ac:dyDescent="0.3">
      <c r="V106" s="78"/>
    </row>
    <row r="107" spans="22:22" x14ac:dyDescent="0.3">
      <c r="V107" s="78"/>
    </row>
    <row r="108" spans="22:22" x14ac:dyDescent="0.3">
      <c r="V108" s="78"/>
    </row>
    <row r="109" spans="22:22" x14ac:dyDescent="0.3">
      <c r="V109" s="78"/>
    </row>
    <row r="110" spans="22:22" x14ac:dyDescent="0.3">
      <c r="V110" s="78"/>
    </row>
    <row r="111" spans="22:22" x14ac:dyDescent="0.3">
      <c r="V111" s="78"/>
    </row>
    <row r="112" spans="22:22" x14ac:dyDescent="0.3">
      <c r="V112" s="78"/>
    </row>
    <row r="113" spans="22:22" x14ac:dyDescent="0.3">
      <c r="V113" s="78"/>
    </row>
    <row r="114" spans="22:22" x14ac:dyDescent="0.3">
      <c r="V114" s="78"/>
    </row>
    <row r="115" spans="22:22" x14ac:dyDescent="0.3">
      <c r="V115" s="78"/>
    </row>
    <row r="116" spans="22:22" x14ac:dyDescent="0.3">
      <c r="V116" s="78"/>
    </row>
    <row r="117" spans="22:22" x14ac:dyDescent="0.3">
      <c r="V117" s="78"/>
    </row>
    <row r="118" spans="22:22" x14ac:dyDescent="0.3">
      <c r="V118" s="78"/>
    </row>
    <row r="119" spans="22:22" x14ac:dyDescent="0.3">
      <c r="V119" s="78"/>
    </row>
    <row r="120" spans="22:22" x14ac:dyDescent="0.3">
      <c r="V120" s="78"/>
    </row>
    <row r="121" spans="22:22" x14ac:dyDescent="0.3">
      <c r="V121" s="78"/>
    </row>
    <row r="122" spans="22:22" x14ac:dyDescent="0.3">
      <c r="V122" s="78"/>
    </row>
    <row r="123" spans="22:22" x14ac:dyDescent="0.3">
      <c r="V123" s="78"/>
    </row>
    <row r="124" spans="22:22" x14ac:dyDescent="0.3">
      <c r="V124" s="78"/>
    </row>
    <row r="125" spans="22:22" x14ac:dyDescent="0.3">
      <c r="V125" s="78"/>
    </row>
    <row r="126" spans="22:22" x14ac:dyDescent="0.3">
      <c r="V126" s="78"/>
    </row>
    <row r="127" spans="22:22" x14ac:dyDescent="0.3">
      <c r="V127" s="78"/>
    </row>
    <row r="128" spans="22:22" x14ac:dyDescent="0.3">
      <c r="V128" s="78"/>
    </row>
    <row r="129" spans="22:22" x14ac:dyDescent="0.3">
      <c r="V129" s="78"/>
    </row>
    <row r="130" spans="22:22" x14ac:dyDescent="0.3">
      <c r="V130" s="78"/>
    </row>
    <row r="131" spans="22:22" x14ac:dyDescent="0.3">
      <c r="V131" s="78"/>
    </row>
    <row r="132" spans="22:22" x14ac:dyDescent="0.3">
      <c r="V132" s="78"/>
    </row>
    <row r="133" spans="22:22" x14ac:dyDescent="0.3">
      <c r="V133" s="78"/>
    </row>
    <row r="134" spans="22:22" x14ac:dyDescent="0.3">
      <c r="V134" s="78"/>
    </row>
    <row r="135" spans="22:22" x14ac:dyDescent="0.3">
      <c r="V135" s="78"/>
    </row>
    <row r="136" spans="22:22" x14ac:dyDescent="0.3">
      <c r="V136" s="78"/>
    </row>
    <row r="137" spans="22:22" x14ac:dyDescent="0.3">
      <c r="V137" s="78"/>
    </row>
    <row r="138" spans="22:22" x14ac:dyDescent="0.3">
      <c r="V138" s="78"/>
    </row>
    <row r="139" spans="22:22" x14ac:dyDescent="0.3">
      <c r="V139" s="78"/>
    </row>
    <row r="140" spans="22:22" x14ac:dyDescent="0.3">
      <c r="V140" s="78"/>
    </row>
    <row r="141" spans="22:22" x14ac:dyDescent="0.3">
      <c r="V141" s="78"/>
    </row>
    <row r="142" spans="22:22" x14ac:dyDescent="0.3">
      <c r="V142" s="78"/>
    </row>
    <row r="143" spans="22:22" x14ac:dyDescent="0.3">
      <c r="V143" s="78"/>
    </row>
    <row r="144" spans="22:22" x14ac:dyDescent="0.3">
      <c r="V144" s="78"/>
    </row>
    <row r="145" spans="22:22" x14ac:dyDescent="0.3">
      <c r="V145" s="78"/>
    </row>
    <row r="146" spans="22:22" x14ac:dyDescent="0.3">
      <c r="V146" s="78"/>
    </row>
    <row r="147" spans="22:22" x14ac:dyDescent="0.3">
      <c r="V147" s="78"/>
    </row>
    <row r="148" spans="22:22" x14ac:dyDescent="0.3">
      <c r="V148" s="78"/>
    </row>
    <row r="149" spans="22:22" x14ac:dyDescent="0.3">
      <c r="V149" s="78"/>
    </row>
    <row r="150" spans="22:22" x14ac:dyDescent="0.3">
      <c r="V150" s="78"/>
    </row>
    <row r="151" spans="22:22" x14ac:dyDescent="0.3">
      <c r="V151" s="78"/>
    </row>
    <row r="152" spans="22:22" x14ac:dyDescent="0.3">
      <c r="V152" s="78"/>
    </row>
    <row r="153" spans="22:22" x14ac:dyDescent="0.3">
      <c r="V153" s="78"/>
    </row>
    <row r="154" spans="22:22" x14ac:dyDescent="0.3">
      <c r="V154" s="78"/>
    </row>
    <row r="155" spans="22:22" x14ac:dyDescent="0.3">
      <c r="V155" s="78"/>
    </row>
    <row r="156" spans="22:22" x14ac:dyDescent="0.3">
      <c r="V156" s="78"/>
    </row>
    <row r="157" spans="22:22" x14ac:dyDescent="0.3">
      <c r="V157" s="78"/>
    </row>
    <row r="158" spans="22:22" x14ac:dyDescent="0.3">
      <c r="V158" s="78"/>
    </row>
    <row r="159" spans="22:22" x14ac:dyDescent="0.3">
      <c r="V159" s="78"/>
    </row>
    <row r="160" spans="22:22" x14ac:dyDescent="0.3">
      <c r="V160" s="78"/>
    </row>
    <row r="161" spans="22:22" x14ac:dyDescent="0.3">
      <c r="V161" s="78"/>
    </row>
    <row r="162" spans="22:22" x14ac:dyDescent="0.3">
      <c r="V162" s="78"/>
    </row>
    <row r="163" spans="22:22" x14ac:dyDescent="0.3">
      <c r="V163" s="78"/>
    </row>
    <row r="164" spans="22:22" x14ac:dyDescent="0.3">
      <c r="V164" s="78"/>
    </row>
    <row r="165" spans="22:22" x14ac:dyDescent="0.3">
      <c r="V165" s="78"/>
    </row>
    <row r="166" spans="22:22" x14ac:dyDescent="0.3">
      <c r="V166" s="78"/>
    </row>
    <row r="167" spans="22:22" x14ac:dyDescent="0.3">
      <c r="V167" s="78"/>
    </row>
    <row r="168" spans="22:22" x14ac:dyDescent="0.3">
      <c r="V168" s="78"/>
    </row>
    <row r="169" spans="22:22" x14ac:dyDescent="0.3">
      <c r="V169" s="78"/>
    </row>
    <row r="170" spans="22:22" x14ac:dyDescent="0.3">
      <c r="V170" s="78"/>
    </row>
    <row r="171" spans="22:22" x14ac:dyDescent="0.3">
      <c r="V171" s="78"/>
    </row>
    <row r="172" spans="22:22" x14ac:dyDescent="0.3">
      <c r="V172" s="78"/>
    </row>
    <row r="173" spans="22:22" x14ac:dyDescent="0.3">
      <c r="V173" s="78"/>
    </row>
    <row r="174" spans="22:22" x14ac:dyDescent="0.3">
      <c r="V174" s="78"/>
    </row>
    <row r="175" spans="22:22" x14ac:dyDescent="0.3">
      <c r="V175" s="78"/>
    </row>
    <row r="176" spans="22:22" x14ac:dyDescent="0.3">
      <c r="V176" s="78"/>
    </row>
    <row r="177" spans="22:22" x14ac:dyDescent="0.3">
      <c r="V177" s="78"/>
    </row>
    <row r="178" spans="22:22" x14ac:dyDescent="0.3">
      <c r="V178" s="78"/>
    </row>
    <row r="179" spans="22:22" x14ac:dyDescent="0.3">
      <c r="V179" s="78"/>
    </row>
    <row r="180" spans="22:22" x14ac:dyDescent="0.3">
      <c r="V180" s="78"/>
    </row>
    <row r="181" spans="22:22" x14ac:dyDescent="0.3">
      <c r="V181" s="78"/>
    </row>
    <row r="182" spans="22:22" x14ac:dyDescent="0.3">
      <c r="V182" s="78"/>
    </row>
    <row r="183" spans="22:22" x14ac:dyDescent="0.3">
      <c r="V183" s="78"/>
    </row>
    <row r="184" spans="22:22" x14ac:dyDescent="0.3">
      <c r="V184" s="78"/>
    </row>
    <row r="185" spans="22:22" x14ac:dyDescent="0.3">
      <c r="V185" s="78"/>
    </row>
    <row r="186" spans="22:22" x14ac:dyDescent="0.3">
      <c r="V186" s="78"/>
    </row>
    <row r="187" spans="22:22" x14ac:dyDescent="0.3">
      <c r="V187" s="78"/>
    </row>
    <row r="188" spans="22:22" x14ac:dyDescent="0.3">
      <c r="V188" s="78"/>
    </row>
    <row r="189" spans="22:22" x14ac:dyDescent="0.3">
      <c r="V189" s="78"/>
    </row>
    <row r="190" spans="22:22" x14ac:dyDescent="0.3">
      <c r="V190" s="78"/>
    </row>
    <row r="191" spans="22:22" x14ac:dyDescent="0.3">
      <c r="V191" s="78"/>
    </row>
    <row r="192" spans="22:22" x14ac:dyDescent="0.3">
      <c r="V192" s="78"/>
    </row>
    <row r="193" spans="22:22" x14ac:dyDescent="0.3">
      <c r="V193" s="78"/>
    </row>
    <row r="194" spans="22:22" x14ac:dyDescent="0.3">
      <c r="V194" s="78"/>
    </row>
    <row r="195" spans="22:22" x14ac:dyDescent="0.3">
      <c r="V195" s="78"/>
    </row>
    <row r="196" spans="22:22" x14ac:dyDescent="0.3">
      <c r="V196" s="78"/>
    </row>
    <row r="197" spans="22:22" x14ac:dyDescent="0.3">
      <c r="V197" s="78"/>
    </row>
    <row r="198" spans="22:22" x14ac:dyDescent="0.3">
      <c r="V198" s="78"/>
    </row>
    <row r="199" spans="22:22" x14ac:dyDescent="0.3">
      <c r="V199" s="78"/>
    </row>
    <row r="200" spans="22:22" x14ac:dyDescent="0.3">
      <c r="V200" s="78"/>
    </row>
    <row r="201" spans="22:22" x14ac:dyDescent="0.3">
      <c r="V201" s="78"/>
    </row>
    <row r="202" spans="22:22" x14ac:dyDescent="0.3">
      <c r="V202" s="78"/>
    </row>
    <row r="203" spans="22:22" x14ac:dyDescent="0.3">
      <c r="V203" s="78"/>
    </row>
    <row r="204" spans="22:22" x14ac:dyDescent="0.3">
      <c r="V204" s="78"/>
    </row>
    <row r="205" spans="22:22" x14ac:dyDescent="0.3">
      <c r="V205" s="78"/>
    </row>
    <row r="206" spans="22:22" x14ac:dyDescent="0.3">
      <c r="V206" s="78"/>
    </row>
    <row r="207" spans="22:22" x14ac:dyDescent="0.3">
      <c r="V207" s="78"/>
    </row>
    <row r="208" spans="22:22" x14ac:dyDescent="0.3">
      <c r="V208" s="78"/>
    </row>
    <row r="209" spans="22:22" x14ac:dyDescent="0.3">
      <c r="V209" s="78"/>
    </row>
    <row r="210" spans="22:22" x14ac:dyDescent="0.3">
      <c r="V210" s="78"/>
    </row>
    <row r="211" spans="22:22" x14ac:dyDescent="0.3">
      <c r="V211" s="78"/>
    </row>
    <row r="212" spans="22:22" x14ac:dyDescent="0.3">
      <c r="V212" s="78"/>
    </row>
    <row r="213" spans="22:22" x14ac:dyDescent="0.3">
      <c r="V213" s="78"/>
    </row>
    <row r="214" spans="22:22" x14ac:dyDescent="0.3">
      <c r="V214" s="78"/>
    </row>
    <row r="215" spans="22:22" x14ac:dyDescent="0.3">
      <c r="V215" s="78"/>
    </row>
    <row r="216" spans="22:22" x14ac:dyDescent="0.3">
      <c r="V216" s="78"/>
    </row>
    <row r="217" spans="22:22" x14ac:dyDescent="0.3">
      <c r="V217" s="78"/>
    </row>
    <row r="218" spans="22:22" x14ac:dyDescent="0.3">
      <c r="V218" s="78"/>
    </row>
    <row r="219" spans="22:22" x14ac:dyDescent="0.3">
      <c r="V219" s="78"/>
    </row>
    <row r="220" spans="22:22" x14ac:dyDescent="0.3">
      <c r="V220" s="78"/>
    </row>
    <row r="221" spans="22:22" x14ac:dyDescent="0.3">
      <c r="V221" s="78"/>
    </row>
    <row r="222" spans="22:22" x14ac:dyDescent="0.3">
      <c r="V222" s="78"/>
    </row>
    <row r="223" spans="22:22" x14ac:dyDescent="0.3">
      <c r="V223" s="78"/>
    </row>
    <row r="224" spans="22:22" x14ac:dyDescent="0.3">
      <c r="V224" s="78"/>
    </row>
    <row r="225" spans="22:22" x14ac:dyDescent="0.3">
      <c r="V225" s="78"/>
    </row>
    <row r="226" spans="22:22" x14ac:dyDescent="0.3">
      <c r="V226" s="78"/>
    </row>
    <row r="227" spans="22:22" x14ac:dyDescent="0.3">
      <c r="V227" s="78"/>
    </row>
    <row r="228" spans="22:22" x14ac:dyDescent="0.3">
      <c r="V228" s="78"/>
    </row>
    <row r="229" spans="22:22" x14ac:dyDescent="0.3">
      <c r="V229" s="78"/>
    </row>
    <row r="230" spans="22:22" x14ac:dyDescent="0.3">
      <c r="V230" s="78"/>
    </row>
    <row r="231" spans="22:22" x14ac:dyDescent="0.3">
      <c r="V231" s="78"/>
    </row>
    <row r="232" spans="22:22" x14ac:dyDescent="0.3">
      <c r="V232" s="78"/>
    </row>
    <row r="233" spans="22:22" x14ac:dyDescent="0.3">
      <c r="V233" s="78"/>
    </row>
    <row r="234" spans="22:22" x14ac:dyDescent="0.3">
      <c r="V234" s="78"/>
    </row>
    <row r="235" spans="22:22" x14ac:dyDescent="0.3">
      <c r="V235" s="78"/>
    </row>
    <row r="236" spans="22:22" x14ac:dyDescent="0.3">
      <c r="V236" s="78"/>
    </row>
    <row r="237" spans="22:22" x14ac:dyDescent="0.3">
      <c r="V237" s="78"/>
    </row>
    <row r="238" spans="22:22" x14ac:dyDescent="0.3">
      <c r="V238" s="78"/>
    </row>
    <row r="239" spans="22:22" x14ac:dyDescent="0.3">
      <c r="V239" s="78"/>
    </row>
    <row r="240" spans="22:22" x14ac:dyDescent="0.3">
      <c r="V240" s="78"/>
    </row>
    <row r="241" spans="22:22" x14ac:dyDescent="0.3">
      <c r="V241" s="78"/>
    </row>
    <row r="242" spans="22:22" x14ac:dyDescent="0.3">
      <c r="V242" s="78"/>
    </row>
    <row r="243" spans="22:22" x14ac:dyDescent="0.3">
      <c r="V243" s="78"/>
    </row>
    <row r="244" spans="22:22" x14ac:dyDescent="0.3">
      <c r="V244" s="78"/>
    </row>
    <row r="245" spans="22:22" x14ac:dyDescent="0.3">
      <c r="V245" s="78"/>
    </row>
    <row r="246" spans="22:22" x14ac:dyDescent="0.3">
      <c r="V246" s="78"/>
    </row>
    <row r="247" spans="22:22" x14ac:dyDescent="0.3">
      <c r="V247" s="78"/>
    </row>
    <row r="248" spans="22:22" x14ac:dyDescent="0.3">
      <c r="V248" s="78"/>
    </row>
    <row r="249" spans="22:22" x14ac:dyDescent="0.3">
      <c r="V249" s="78"/>
    </row>
    <row r="250" spans="22:22" x14ac:dyDescent="0.3">
      <c r="V250" s="78"/>
    </row>
    <row r="251" spans="22:22" x14ac:dyDescent="0.3">
      <c r="V251" s="78"/>
    </row>
    <row r="252" spans="22:22" x14ac:dyDescent="0.3">
      <c r="V252" s="78"/>
    </row>
    <row r="253" spans="22:22" x14ac:dyDescent="0.3">
      <c r="V253" s="78"/>
    </row>
    <row r="254" spans="22:22" x14ac:dyDescent="0.3">
      <c r="V254" s="78"/>
    </row>
    <row r="255" spans="22:22" x14ac:dyDescent="0.3">
      <c r="V255" s="78"/>
    </row>
    <row r="256" spans="22:22" x14ac:dyDescent="0.3">
      <c r="V256" s="78"/>
    </row>
    <row r="257" spans="22:22" x14ac:dyDescent="0.3">
      <c r="V257" s="78"/>
    </row>
    <row r="258" spans="22:22" x14ac:dyDescent="0.3">
      <c r="V258" s="78"/>
    </row>
    <row r="259" spans="22:22" x14ac:dyDescent="0.3">
      <c r="V259" s="78"/>
    </row>
    <row r="260" spans="22:22" x14ac:dyDescent="0.3">
      <c r="V260" s="78"/>
    </row>
    <row r="261" spans="22:22" x14ac:dyDescent="0.3">
      <c r="V261" s="78"/>
    </row>
    <row r="262" spans="22:22" x14ac:dyDescent="0.3">
      <c r="V262" s="78"/>
    </row>
    <row r="263" spans="22:22" x14ac:dyDescent="0.3">
      <c r="V263" s="78"/>
    </row>
    <row r="264" spans="22:22" x14ac:dyDescent="0.3">
      <c r="V264" s="78"/>
    </row>
    <row r="265" spans="22:22" x14ac:dyDescent="0.3">
      <c r="V265" s="78"/>
    </row>
    <row r="266" spans="22:22" x14ac:dyDescent="0.3">
      <c r="V266" s="78"/>
    </row>
    <row r="267" spans="22:22" x14ac:dyDescent="0.3">
      <c r="V267" s="78"/>
    </row>
    <row r="268" spans="22:22" x14ac:dyDescent="0.3">
      <c r="V268" s="78"/>
    </row>
    <row r="269" spans="22:22" x14ac:dyDescent="0.3">
      <c r="V269" s="78"/>
    </row>
    <row r="270" spans="22:22" x14ac:dyDescent="0.3">
      <c r="V270" s="78"/>
    </row>
    <row r="271" spans="22:22" x14ac:dyDescent="0.3">
      <c r="V271" s="78"/>
    </row>
    <row r="272" spans="22:22" x14ac:dyDescent="0.3">
      <c r="V272" s="78"/>
    </row>
    <row r="273" spans="22:22" x14ac:dyDescent="0.3">
      <c r="V273" s="78"/>
    </row>
    <row r="274" spans="22:22" x14ac:dyDescent="0.3">
      <c r="V274" s="78"/>
    </row>
    <row r="275" spans="22:22" x14ac:dyDescent="0.3">
      <c r="V275" s="78"/>
    </row>
    <row r="276" spans="22:22" x14ac:dyDescent="0.3">
      <c r="V276" s="78"/>
    </row>
    <row r="277" spans="22:22" x14ac:dyDescent="0.3">
      <c r="V277" s="78"/>
    </row>
    <row r="278" spans="22:22" x14ac:dyDescent="0.3">
      <c r="V278" s="78"/>
    </row>
    <row r="279" spans="22:22" x14ac:dyDescent="0.3">
      <c r="V279" s="78"/>
    </row>
    <row r="280" spans="22:22" x14ac:dyDescent="0.3">
      <c r="V280" s="78"/>
    </row>
    <row r="281" spans="22:22" x14ac:dyDescent="0.3">
      <c r="V281" s="78"/>
    </row>
    <row r="282" spans="22:22" x14ac:dyDescent="0.3">
      <c r="V282" s="78"/>
    </row>
    <row r="283" spans="22:22" x14ac:dyDescent="0.3">
      <c r="V283" s="78"/>
    </row>
    <row r="284" spans="22:22" x14ac:dyDescent="0.3">
      <c r="V284" s="78"/>
    </row>
    <row r="285" spans="22:22" x14ac:dyDescent="0.3">
      <c r="V285" s="78"/>
    </row>
    <row r="286" spans="22:22" x14ac:dyDescent="0.3">
      <c r="V286" s="78"/>
    </row>
    <row r="287" spans="22:22" x14ac:dyDescent="0.3">
      <c r="V287" s="78"/>
    </row>
    <row r="288" spans="22:22" x14ac:dyDescent="0.3">
      <c r="V288" s="78"/>
    </row>
    <row r="289" spans="22:22" x14ac:dyDescent="0.3">
      <c r="V289" s="78"/>
    </row>
    <row r="290" spans="22:22" x14ac:dyDescent="0.3">
      <c r="V290" s="78"/>
    </row>
    <row r="291" spans="22:22" x14ac:dyDescent="0.3">
      <c r="V291" s="78"/>
    </row>
    <row r="292" spans="22:22" x14ac:dyDescent="0.3">
      <c r="V292" s="78"/>
    </row>
    <row r="293" spans="22:22" x14ac:dyDescent="0.3">
      <c r="V293" s="78"/>
    </row>
    <row r="294" spans="22:22" x14ac:dyDescent="0.3">
      <c r="V294" s="78"/>
    </row>
    <row r="295" spans="22:22" x14ac:dyDescent="0.3">
      <c r="V295" s="78"/>
    </row>
    <row r="296" spans="22:22" x14ac:dyDescent="0.3">
      <c r="V296" s="78"/>
    </row>
    <row r="297" spans="22:22" x14ac:dyDescent="0.3">
      <c r="V297" s="78"/>
    </row>
    <row r="298" spans="22:22" x14ac:dyDescent="0.3">
      <c r="V298" s="78"/>
    </row>
    <row r="299" spans="22:22" x14ac:dyDescent="0.3">
      <c r="V299" s="78"/>
    </row>
    <row r="300" spans="22:22" x14ac:dyDescent="0.3">
      <c r="V300" s="78"/>
    </row>
    <row r="301" spans="22:22" x14ac:dyDescent="0.3">
      <c r="V301" s="78"/>
    </row>
    <row r="302" spans="22:22" x14ac:dyDescent="0.3">
      <c r="V302" s="78"/>
    </row>
    <row r="303" spans="22:22" x14ac:dyDescent="0.3">
      <c r="V303" s="78"/>
    </row>
    <row r="304" spans="22:22" x14ac:dyDescent="0.3">
      <c r="V304" s="78"/>
    </row>
    <row r="305" spans="22:22" x14ac:dyDescent="0.3">
      <c r="V305" s="78"/>
    </row>
    <row r="306" spans="22:22" x14ac:dyDescent="0.3">
      <c r="V306" s="78"/>
    </row>
    <row r="307" spans="22:22" x14ac:dyDescent="0.3">
      <c r="V307" s="78"/>
    </row>
    <row r="308" spans="22:22" x14ac:dyDescent="0.3">
      <c r="V308" s="78"/>
    </row>
    <row r="309" spans="22:22" x14ac:dyDescent="0.3">
      <c r="V309" s="78"/>
    </row>
    <row r="310" spans="22:22" x14ac:dyDescent="0.3">
      <c r="V310" s="78"/>
    </row>
    <row r="311" spans="22:22" x14ac:dyDescent="0.3">
      <c r="V311" s="78"/>
    </row>
    <row r="312" spans="22:22" x14ac:dyDescent="0.3">
      <c r="V312" s="78"/>
    </row>
    <row r="313" spans="22:22" x14ac:dyDescent="0.3">
      <c r="V313" s="78"/>
    </row>
    <row r="314" spans="22:22" x14ac:dyDescent="0.3">
      <c r="V314" s="78"/>
    </row>
    <row r="315" spans="22:22" x14ac:dyDescent="0.3">
      <c r="V315" s="78"/>
    </row>
    <row r="316" spans="22:22" x14ac:dyDescent="0.3">
      <c r="V316" s="78"/>
    </row>
    <row r="317" spans="22:22" x14ac:dyDescent="0.3">
      <c r="V317" s="78"/>
    </row>
    <row r="318" spans="22:22" x14ac:dyDescent="0.3">
      <c r="V318" s="78"/>
    </row>
    <row r="319" spans="22:22" x14ac:dyDescent="0.3">
      <c r="V319" s="78"/>
    </row>
    <row r="320" spans="22:22" x14ac:dyDescent="0.3">
      <c r="V320" s="78"/>
    </row>
    <row r="321" spans="22:22" x14ac:dyDescent="0.3">
      <c r="V321" s="78"/>
    </row>
    <row r="322" spans="22:22" x14ac:dyDescent="0.3">
      <c r="V322" s="78"/>
    </row>
    <row r="323" spans="22:22" x14ac:dyDescent="0.3">
      <c r="V323" s="78"/>
    </row>
    <row r="324" spans="22:22" x14ac:dyDescent="0.3">
      <c r="V324" s="78"/>
    </row>
    <row r="325" spans="22:22" x14ac:dyDescent="0.3">
      <c r="V325" s="78"/>
    </row>
    <row r="326" spans="22:22" x14ac:dyDescent="0.3">
      <c r="V326" s="78"/>
    </row>
    <row r="327" spans="22:22" x14ac:dyDescent="0.3">
      <c r="V327" s="78"/>
    </row>
    <row r="328" spans="22:22" x14ac:dyDescent="0.3">
      <c r="V328" s="78"/>
    </row>
    <row r="329" spans="22:22" x14ac:dyDescent="0.3">
      <c r="V329" s="78"/>
    </row>
    <row r="330" spans="22:22" x14ac:dyDescent="0.3">
      <c r="V330" s="78"/>
    </row>
    <row r="331" spans="22:22" x14ac:dyDescent="0.3">
      <c r="V331" s="78"/>
    </row>
    <row r="332" spans="22:22" x14ac:dyDescent="0.3">
      <c r="V332" s="78"/>
    </row>
    <row r="333" spans="22:22" x14ac:dyDescent="0.3">
      <c r="V333" s="78"/>
    </row>
    <row r="334" spans="22:22" x14ac:dyDescent="0.3">
      <c r="V334" s="78"/>
    </row>
    <row r="335" spans="22:22" x14ac:dyDescent="0.3">
      <c r="V335" s="78"/>
    </row>
    <row r="336" spans="22:22" x14ac:dyDescent="0.3">
      <c r="V336" s="78"/>
    </row>
    <row r="337" spans="22:22" x14ac:dyDescent="0.3">
      <c r="V337" s="78"/>
    </row>
    <row r="338" spans="22:22" x14ac:dyDescent="0.3">
      <c r="V338" s="78"/>
    </row>
    <row r="339" spans="22:22" x14ac:dyDescent="0.3">
      <c r="V339" s="78"/>
    </row>
    <row r="340" spans="22:22" x14ac:dyDescent="0.3">
      <c r="V340" s="78"/>
    </row>
    <row r="341" spans="22:22" x14ac:dyDescent="0.3">
      <c r="V341" s="78"/>
    </row>
    <row r="342" spans="22:22" x14ac:dyDescent="0.3">
      <c r="V342" s="78"/>
    </row>
    <row r="343" spans="22:22" x14ac:dyDescent="0.3">
      <c r="V343" s="78"/>
    </row>
    <row r="344" spans="22:22" x14ac:dyDescent="0.3">
      <c r="V344" s="78"/>
    </row>
    <row r="345" spans="22:22" x14ac:dyDescent="0.3">
      <c r="V345" s="78"/>
    </row>
    <row r="346" spans="22:22" x14ac:dyDescent="0.3">
      <c r="V346" s="78"/>
    </row>
    <row r="347" spans="22:22" x14ac:dyDescent="0.3">
      <c r="V347" s="78"/>
    </row>
    <row r="348" spans="22:22" x14ac:dyDescent="0.3">
      <c r="V348" s="78"/>
    </row>
    <row r="349" spans="22:22" x14ac:dyDescent="0.3">
      <c r="V349" s="78"/>
    </row>
    <row r="350" spans="22:22" x14ac:dyDescent="0.3">
      <c r="V350" s="78"/>
    </row>
    <row r="351" spans="22:22" x14ac:dyDescent="0.3">
      <c r="V351" s="78"/>
    </row>
    <row r="352" spans="22:22" x14ac:dyDescent="0.3">
      <c r="V352" s="78"/>
    </row>
    <row r="353" spans="22:22" x14ac:dyDescent="0.3">
      <c r="V353" s="78"/>
    </row>
    <row r="354" spans="22:22" x14ac:dyDescent="0.3">
      <c r="V354" s="78"/>
    </row>
    <row r="355" spans="22:22" x14ac:dyDescent="0.3">
      <c r="V355" s="78"/>
    </row>
    <row r="356" spans="22:22" x14ac:dyDescent="0.3">
      <c r="V356" s="78"/>
    </row>
    <row r="357" spans="22:22" x14ac:dyDescent="0.3">
      <c r="V357" s="78"/>
    </row>
    <row r="358" spans="22:22" x14ac:dyDescent="0.3">
      <c r="V358" s="78"/>
    </row>
    <row r="359" spans="22:22" x14ac:dyDescent="0.3">
      <c r="V359" s="78"/>
    </row>
    <row r="360" spans="22:22" x14ac:dyDescent="0.3">
      <c r="V360" s="78"/>
    </row>
    <row r="361" spans="22:22" x14ac:dyDescent="0.3">
      <c r="V361" s="78"/>
    </row>
    <row r="362" spans="22:22" x14ac:dyDescent="0.3">
      <c r="V362" s="78"/>
    </row>
    <row r="363" spans="22:22" x14ac:dyDescent="0.3">
      <c r="V363" s="78"/>
    </row>
    <row r="364" spans="22:22" x14ac:dyDescent="0.3">
      <c r="V364" s="78"/>
    </row>
    <row r="365" spans="22:22" x14ac:dyDescent="0.3">
      <c r="V365" s="78"/>
    </row>
    <row r="366" spans="22:22" x14ac:dyDescent="0.3">
      <c r="V366" s="78"/>
    </row>
    <row r="367" spans="22:22" x14ac:dyDescent="0.3">
      <c r="V367" s="78"/>
    </row>
    <row r="368" spans="22:22" x14ac:dyDescent="0.3">
      <c r="V368" s="78"/>
    </row>
    <row r="369" spans="22:22" x14ac:dyDescent="0.3">
      <c r="V369" s="78"/>
    </row>
    <row r="370" spans="22:22" x14ac:dyDescent="0.3">
      <c r="V370" s="78"/>
    </row>
    <row r="371" spans="22:22" x14ac:dyDescent="0.3">
      <c r="V371" s="78"/>
    </row>
    <row r="372" spans="22:22" x14ac:dyDescent="0.3">
      <c r="V372" s="78"/>
    </row>
    <row r="373" spans="22:22" x14ac:dyDescent="0.3">
      <c r="V373" s="78"/>
    </row>
    <row r="374" spans="22:22" x14ac:dyDescent="0.3">
      <c r="V374" s="78"/>
    </row>
    <row r="375" spans="22:22" x14ac:dyDescent="0.3">
      <c r="V375" s="78"/>
    </row>
    <row r="376" spans="22:22" x14ac:dyDescent="0.3">
      <c r="V376" s="78"/>
    </row>
    <row r="377" spans="22:22" x14ac:dyDescent="0.3">
      <c r="V377" s="78"/>
    </row>
    <row r="378" spans="22:22" x14ac:dyDescent="0.3">
      <c r="V378" s="78"/>
    </row>
    <row r="379" spans="22:22" x14ac:dyDescent="0.3">
      <c r="V379" s="78"/>
    </row>
    <row r="380" spans="22:22" x14ac:dyDescent="0.3">
      <c r="V380" s="78"/>
    </row>
    <row r="381" spans="22:22" x14ac:dyDescent="0.3">
      <c r="V381" s="78"/>
    </row>
    <row r="382" spans="22:22" x14ac:dyDescent="0.3">
      <c r="V382" s="78"/>
    </row>
    <row r="383" spans="22:22" x14ac:dyDescent="0.3">
      <c r="V383" s="78"/>
    </row>
    <row r="384" spans="22:22" x14ac:dyDescent="0.3">
      <c r="V384" s="78"/>
    </row>
    <row r="385" spans="22:22" x14ac:dyDescent="0.3">
      <c r="V385" s="78"/>
    </row>
    <row r="386" spans="22:22" x14ac:dyDescent="0.3">
      <c r="V386" s="78"/>
    </row>
    <row r="387" spans="22:22" x14ac:dyDescent="0.3">
      <c r="V387" s="78"/>
    </row>
    <row r="388" spans="22:22" x14ac:dyDescent="0.3">
      <c r="V388" s="78"/>
    </row>
    <row r="389" spans="22:22" x14ac:dyDescent="0.3">
      <c r="V389" s="78"/>
    </row>
    <row r="390" spans="22:22" x14ac:dyDescent="0.3">
      <c r="V390" s="78"/>
    </row>
    <row r="391" spans="22:22" x14ac:dyDescent="0.3">
      <c r="V391" s="78"/>
    </row>
    <row r="392" spans="22:22" x14ac:dyDescent="0.3">
      <c r="V392" s="78"/>
    </row>
    <row r="393" spans="22:22" x14ac:dyDescent="0.3">
      <c r="V393" s="78"/>
    </row>
    <row r="394" spans="22:22" x14ac:dyDescent="0.3">
      <c r="V394" s="78"/>
    </row>
    <row r="395" spans="22:22" x14ac:dyDescent="0.3">
      <c r="V395" s="78"/>
    </row>
    <row r="396" spans="22:22" x14ac:dyDescent="0.3">
      <c r="V396" s="78"/>
    </row>
    <row r="397" spans="22:22" x14ac:dyDescent="0.3">
      <c r="V397" s="78"/>
    </row>
    <row r="398" spans="22:22" x14ac:dyDescent="0.3">
      <c r="V398" s="78"/>
    </row>
    <row r="399" spans="22:22" x14ac:dyDescent="0.3">
      <c r="V399" s="78"/>
    </row>
    <row r="400" spans="22:22" x14ac:dyDescent="0.3">
      <c r="V400" s="78"/>
    </row>
    <row r="401" spans="22:22" x14ac:dyDescent="0.3">
      <c r="V401" s="78"/>
    </row>
    <row r="402" spans="22:22" x14ac:dyDescent="0.3">
      <c r="V402" s="78"/>
    </row>
    <row r="403" spans="22:22" x14ac:dyDescent="0.3">
      <c r="V403" s="78"/>
    </row>
    <row r="404" spans="22:22" x14ac:dyDescent="0.3">
      <c r="V404" s="78"/>
    </row>
    <row r="405" spans="22:22" x14ac:dyDescent="0.3">
      <c r="V405" s="78"/>
    </row>
    <row r="406" spans="22:22" x14ac:dyDescent="0.3">
      <c r="V406" s="78"/>
    </row>
    <row r="407" spans="22:22" x14ac:dyDescent="0.3">
      <c r="V407" s="78"/>
    </row>
    <row r="408" spans="22:22" x14ac:dyDescent="0.3">
      <c r="V408" s="78"/>
    </row>
    <row r="409" spans="22:22" x14ac:dyDescent="0.3">
      <c r="V409" s="78"/>
    </row>
    <row r="410" spans="22:22" x14ac:dyDescent="0.3">
      <c r="V410" s="78"/>
    </row>
    <row r="411" spans="22:22" x14ac:dyDescent="0.3">
      <c r="V411" s="78"/>
    </row>
    <row r="412" spans="22:22" x14ac:dyDescent="0.3">
      <c r="V412" s="78"/>
    </row>
    <row r="413" spans="22:22" x14ac:dyDescent="0.3">
      <c r="V413" s="78"/>
    </row>
    <row r="414" spans="22:22" x14ac:dyDescent="0.3">
      <c r="V414" s="78"/>
    </row>
    <row r="415" spans="22:22" x14ac:dyDescent="0.3">
      <c r="V415" s="78"/>
    </row>
    <row r="416" spans="22:22" x14ac:dyDescent="0.3">
      <c r="V416" s="78"/>
    </row>
    <row r="417" spans="22:22" x14ac:dyDescent="0.3">
      <c r="V417" s="78"/>
    </row>
    <row r="418" spans="22:22" x14ac:dyDescent="0.3">
      <c r="V418" s="78"/>
    </row>
    <row r="419" spans="22:22" x14ac:dyDescent="0.3">
      <c r="V419" s="78"/>
    </row>
    <row r="420" spans="22:22" x14ac:dyDescent="0.3">
      <c r="V420" s="78"/>
    </row>
    <row r="421" spans="22:22" x14ac:dyDescent="0.3">
      <c r="V421" s="78"/>
    </row>
    <row r="422" spans="22:22" x14ac:dyDescent="0.3">
      <c r="V422" s="78"/>
    </row>
    <row r="423" spans="22:22" x14ac:dyDescent="0.3">
      <c r="V423" s="78"/>
    </row>
    <row r="424" spans="22:22" x14ac:dyDescent="0.3">
      <c r="V424" s="78"/>
    </row>
    <row r="425" spans="22:22" x14ac:dyDescent="0.3">
      <c r="V425" s="78"/>
    </row>
    <row r="426" spans="22:22" x14ac:dyDescent="0.3">
      <c r="V426" s="78"/>
    </row>
    <row r="427" spans="22:22" x14ac:dyDescent="0.3">
      <c r="V427" s="78"/>
    </row>
    <row r="428" spans="22:22" x14ac:dyDescent="0.3">
      <c r="V428" s="78"/>
    </row>
    <row r="429" spans="22:22" x14ac:dyDescent="0.3">
      <c r="V429" s="78"/>
    </row>
    <row r="430" spans="22:22" x14ac:dyDescent="0.3">
      <c r="V430" s="78"/>
    </row>
    <row r="431" spans="22:22" x14ac:dyDescent="0.3">
      <c r="V431" s="78"/>
    </row>
    <row r="432" spans="22:22" x14ac:dyDescent="0.3">
      <c r="V432" s="78"/>
    </row>
    <row r="433" spans="22:22" x14ac:dyDescent="0.3">
      <c r="V433" s="78"/>
    </row>
    <row r="434" spans="22:22" x14ac:dyDescent="0.3">
      <c r="V434" s="78"/>
    </row>
    <row r="435" spans="22:22" x14ac:dyDescent="0.3">
      <c r="V435" s="78"/>
    </row>
    <row r="436" spans="22:22" x14ac:dyDescent="0.3">
      <c r="V436" s="78"/>
    </row>
    <row r="437" spans="22:22" x14ac:dyDescent="0.3">
      <c r="V437" s="78"/>
    </row>
    <row r="438" spans="22:22" x14ac:dyDescent="0.3">
      <c r="V438" s="78"/>
    </row>
    <row r="439" spans="22:22" x14ac:dyDescent="0.3">
      <c r="V439" s="78"/>
    </row>
    <row r="440" spans="22:22" x14ac:dyDescent="0.3">
      <c r="V440" s="78"/>
    </row>
    <row r="441" spans="22:22" x14ac:dyDescent="0.3">
      <c r="V441" s="78"/>
    </row>
    <row r="442" spans="22:22" x14ac:dyDescent="0.3">
      <c r="V442" s="78"/>
    </row>
    <row r="443" spans="22:22" x14ac:dyDescent="0.3">
      <c r="V443" s="78"/>
    </row>
    <row r="444" spans="22:22" x14ac:dyDescent="0.3">
      <c r="V444" s="78"/>
    </row>
    <row r="445" spans="22:22" x14ac:dyDescent="0.3">
      <c r="V445" s="78"/>
    </row>
    <row r="446" spans="22:22" x14ac:dyDescent="0.3">
      <c r="V446" s="78"/>
    </row>
    <row r="447" spans="22:22" x14ac:dyDescent="0.3">
      <c r="V447" s="78"/>
    </row>
    <row r="448" spans="22:22" x14ac:dyDescent="0.3">
      <c r="V448" s="78"/>
    </row>
    <row r="449" spans="22:22" x14ac:dyDescent="0.3">
      <c r="V449" s="78"/>
    </row>
    <row r="450" spans="22:22" x14ac:dyDescent="0.3">
      <c r="V450" s="78"/>
    </row>
    <row r="451" spans="22:22" x14ac:dyDescent="0.3">
      <c r="V451" s="78"/>
    </row>
    <row r="452" spans="22:22" x14ac:dyDescent="0.3">
      <c r="V452" s="78"/>
    </row>
    <row r="453" spans="22:22" x14ac:dyDescent="0.3">
      <c r="V453" s="78"/>
    </row>
    <row r="454" spans="22:22" x14ac:dyDescent="0.3">
      <c r="V454" s="78"/>
    </row>
    <row r="455" spans="22:22" x14ac:dyDescent="0.3">
      <c r="V455" s="78"/>
    </row>
    <row r="456" spans="22:22" x14ac:dyDescent="0.3">
      <c r="V456" s="78"/>
    </row>
    <row r="457" spans="22:22" x14ac:dyDescent="0.3">
      <c r="V457" s="78"/>
    </row>
    <row r="458" spans="22:22" x14ac:dyDescent="0.3">
      <c r="V458" s="78"/>
    </row>
    <row r="459" spans="22:22" x14ac:dyDescent="0.3">
      <c r="V459" s="78"/>
    </row>
    <row r="460" spans="22:22" x14ac:dyDescent="0.3">
      <c r="V460" s="78"/>
    </row>
    <row r="461" spans="22:22" x14ac:dyDescent="0.3">
      <c r="V461" s="78"/>
    </row>
    <row r="462" spans="22:22" x14ac:dyDescent="0.3">
      <c r="V462" s="78"/>
    </row>
    <row r="463" spans="22:22" x14ac:dyDescent="0.3">
      <c r="V463" s="78"/>
    </row>
    <row r="464" spans="22:22" x14ac:dyDescent="0.3">
      <c r="V464" s="78"/>
    </row>
    <row r="465" spans="22:22" x14ac:dyDescent="0.3">
      <c r="V465" s="78"/>
    </row>
    <row r="466" spans="22:22" x14ac:dyDescent="0.3">
      <c r="V466" s="78"/>
    </row>
    <row r="467" spans="22:22" x14ac:dyDescent="0.3">
      <c r="V467" s="78"/>
    </row>
    <row r="468" spans="22:22" x14ac:dyDescent="0.3">
      <c r="V468" s="78"/>
    </row>
    <row r="469" spans="22:22" x14ac:dyDescent="0.3">
      <c r="V469" s="78"/>
    </row>
    <row r="470" spans="22:22" x14ac:dyDescent="0.3">
      <c r="V470" s="78"/>
    </row>
    <row r="471" spans="22:22" x14ac:dyDescent="0.3">
      <c r="V471" s="78"/>
    </row>
    <row r="472" spans="22:22" x14ac:dyDescent="0.3">
      <c r="V472" s="78"/>
    </row>
    <row r="473" spans="22:22" x14ac:dyDescent="0.3">
      <c r="V473" s="78"/>
    </row>
    <row r="474" spans="22:22" x14ac:dyDescent="0.3">
      <c r="V474" s="78"/>
    </row>
    <row r="475" spans="22:22" x14ac:dyDescent="0.3">
      <c r="V475" s="78"/>
    </row>
    <row r="476" spans="22:22" x14ac:dyDescent="0.3">
      <c r="V476" s="78"/>
    </row>
    <row r="477" spans="22:22" x14ac:dyDescent="0.3">
      <c r="V477" s="78"/>
    </row>
    <row r="478" spans="22:22" x14ac:dyDescent="0.3">
      <c r="V478" s="78"/>
    </row>
    <row r="479" spans="22:22" x14ac:dyDescent="0.3">
      <c r="V479" s="78"/>
    </row>
    <row r="480" spans="22:22" x14ac:dyDescent="0.3">
      <c r="V480" s="78"/>
    </row>
    <row r="481" spans="22:22" x14ac:dyDescent="0.3">
      <c r="V481" s="78"/>
    </row>
    <row r="482" spans="22:22" x14ac:dyDescent="0.3">
      <c r="V482" s="78"/>
    </row>
    <row r="483" spans="22:22" x14ac:dyDescent="0.3">
      <c r="V483" s="78"/>
    </row>
    <row r="484" spans="22:22" x14ac:dyDescent="0.3">
      <c r="V484" s="78"/>
    </row>
    <row r="485" spans="22:22" x14ac:dyDescent="0.3">
      <c r="V485" s="78"/>
    </row>
    <row r="486" spans="22:22" x14ac:dyDescent="0.3">
      <c r="V486" s="78"/>
    </row>
    <row r="487" spans="22:22" x14ac:dyDescent="0.3">
      <c r="V487" s="78"/>
    </row>
    <row r="488" spans="22:22" x14ac:dyDescent="0.3">
      <c r="V488" s="78"/>
    </row>
    <row r="489" spans="22:22" x14ac:dyDescent="0.3">
      <c r="V489" s="78"/>
    </row>
    <row r="490" spans="22:22" x14ac:dyDescent="0.3">
      <c r="V490" s="78"/>
    </row>
    <row r="491" spans="22:22" x14ac:dyDescent="0.3">
      <c r="V491" s="78"/>
    </row>
    <row r="492" spans="22:22" x14ac:dyDescent="0.3">
      <c r="V492" s="78"/>
    </row>
    <row r="493" spans="22:22" x14ac:dyDescent="0.3">
      <c r="V493" s="78"/>
    </row>
    <row r="494" spans="22:22" x14ac:dyDescent="0.3">
      <c r="V494" s="78"/>
    </row>
    <row r="495" spans="22:22" x14ac:dyDescent="0.3">
      <c r="V495" s="78"/>
    </row>
    <row r="496" spans="22:22" x14ac:dyDescent="0.3">
      <c r="V496" s="78"/>
    </row>
    <row r="497" spans="22:22" x14ac:dyDescent="0.3">
      <c r="V497" s="78"/>
    </row>
    <row r="498" spans="22:22" x14ac:dyDescent="0.3">
      <c r="V498" s="78"/>
    </row>
    <row r="499" spans="22:22" x14ac:dyDescent="0.3">
      <c r="V499" s="78"/>
    </row>
    <row r="500" spans="22:22" x14ac:dyDescent="0.3">
      <c r="V500" s="78"/>
    </row>
    <row r="501" spans="22:22" x14ac:dyDescent="0.3">
      <c r="V501" s="78"/>
    </row>
    <row r="502" spans="22:22" x14ac:dyDescent="0.3">
      <c r="V502" s="78"/>
    </row>
    <row r="503" spans="22:22" x14ac:dyDescent="0.3">
      <c r="V503" s="78"/>
    </row>
    <row r="504" spans="22:22" x14ac:dyDescent="0.3">
      <c r="V504" s="78"/>
    </row>
    <row r="505" spans="22:22" x14ac:dyDescent="0.3">
      <c r="V505" s="78"/>
    </row>
    <row r="506" spans="22:22" x14ac:dyDescent="0.3">
      <c r="V506" s="78"/>
    </row>
    <row r="507" spans="22:22" x14ac:dyDescent="0.3">
      <c r="V507" s="78"/>
    </row>
    <row r="508" spans="22:22" x14ac:dyDescent="0.3">
      <c r="V508" s="78"/>
    </row>
    <row r="509" spans="22:22" x14ac:dyDescent="0.3">
      <c r="V509" s="78"/>
    </row>
    <row r="510" spans="22:22" x14ac:dyDescent="0.3">
      <c r="V510" s="78"/>
    </row>
    <row r="511" spans="22:22" x14ac:dyDescent="0.3">
      <c r="V511" s="78"/>
    </row>
    <row r="512" spans="22:22" x14ac:dyDescent="0.3">
      <c r="V512" s="78"/>
    </row>
    <row r="513" spans="22:22" x14ac:dyDescent="0.3">
      <c r="V513" s="78"/>
    </row>
    <row r="514" spans="22:22" x14ac:dyDescent="0.3">
      <c r="V514" s="78"/>
    </row>
    <row r="515" spans="22:22" x14ac:dyDescent="0.3">
      <c r="V515" s="78"/>
    </row>
    <row r="516" spans="22:22" x14ac:dyDescent="0.3">
      <c r="V516" s="78"/>
    </row>
    <row r="517" spans="22:22" x14ac:dyDescent="0.3">
      <c r="V517" s="78"/>
    </row>
    <row r="518" spans="22:22" x14ac:dyDescent="0.3">
      <c r="V518" s="78"/>
    </row>
    <row r="519" spans="22:22" x14ac:dyDescent="0.3">
      <c r="V519" s="78"/>
    </row>
    <row r="520" spans="22:22" x14ac:dyDescent="0.3">
      <c r="V520" s="78"/>
    </row>
    <row r="521" spans="22:22" x14ac:dyDescent="0.3">
      <c r="V521" s="78"/>
    </row>
    <row r="522" spans="22:22" x14ac:dyDescent="0.3">
      <c r="V522" s="78"/>
    </row>
    <row r="523" spans="22:22" x14ac:dyDescent="0.3">
      <c r="V523" s="78"/>
    </row>
    <row r="524" spans="22:22" x14ac:dyDescent="0.3">
      <c r="V524" s="78"/>
    </row>
    <row r="525" spans="22:22" x14ac:dyDescent="0.3">
      <c r="V525" s="78"/>
    </row>
    <row r="526" spans="22:22" x14ac:dyDescent="0.3">
      <c r="V526" s="78"/>
    </row>
    <row r="527" spans="22:22" x14ac:dyDescent="0.3">
      <c r="V527" s="78"/>
    </row>
    <row r="528" spans="22:22" x14ac:dyDescent="0.3">
      <c r="V528" s="78"/>
    </row>
    <row r="529" spans="22:22" x14ac:dyDescent="0.3">
      <c r="V529" s="78"/>
    </row>
    <row r="530" spans="22:22" x14ac:dyDescent="0.3">
      <c r="V530" s="78"/>
    </row>
    <row r="531" spans="22:22" x14ac:dyDescent="0.3">
      <c r="V531" s="78"/>
    </row>
    <row r="532" spans="22:22" x14ac:dyDescent="0.3">
      <c r="V532" s="78"/>
    </row>
    <row r="533" spans="22:22" x14ac:dyDescent="0.3">
      <c r="V533" s="78"/>
    </row>
    <row r="534" spans="22:22" x14ac:dyDescent="0.3">
      <c r="V534" s="78"/>
    </row>
    <row r="535" spans="22:22" x14ac:dyDescent="0.3">
      <c r="V535" s="78"/>
    </row>
    <row r="536" spans="22:22" x14ac:dyDescent="0.3">
      <c r="V536" s="78"/>
    </row>
    <row r="537" spans="22:22" x14ac:dyDescent="0.3">
      <c r="V537" s="78"/>
    </row>
    <row r="538" spans="22:22" x14ac:dyDescent="0.3">
      <c r="V538" s="78"/>
    </row>
    <row r="539" spans="22:22" x14ac:dyDescent="0.3">
      <c r="V539" s="78"/>
    </row>
    <row r="540" spans="22:22" x14ac:dyDescent="0.3">
      <c r="V540" s="78"/>
    </row>
    <row r="541" spans="22:22" x14ac:dyDescent="0.3">
      <c r="V541" s="78"/>
    </row>
    <row r="542" spans="22:22" x14ac:dyDescent="0.3">
      <c r="V542" s="78"/>
    </row>
    <row r="543" spans="22:22" x14ac:dyDescent="0.3">
      <c r="V543" s="78"/>
    </row>
    <row r="544" spans="22:22" x14ac:dyDescent="0.3">
      <c r="V544" s="78"/>
    </row>
    <row r="545" spans="22:22" x14ac:dyDescent="0.3">
      <c r="V545" s="78"/>
    </row>
    <row r="546" spans="22:22" x14ac:dyDescent="0.3">
      <c r="V546" s="78"/>
    </row>
    <row r="547" spans="22:22" x14ac:dyDescent="0.3">
      <c r="V547" s="78"/>
    </row>
    <row r="548" spans="22:22" x14ac:dyDescent="0.3">
      <c r="V548" s="78"/>
    </row>
    <row r="549" spans="22:22" x14ac:dyDescent="0.3">
      <c r="V549" s="78"/>
    </row>
    <row r="550" spans="22:22" x14ac:dyDescent="0.3">
      <c r="V550" s="78"/>
    </row>
    <row r="551" spans="22:22" x14ac:dyDescent="0.3">
      <c r="V551" s="78"/>
    </row>
    <row r="552" spans="22:22" x14ac:dyDescent="0.3">
      <c r="V552" s="78"/>
    </row>
    <row r="553" spans="22:22" x14ac:dyDescent="0.3">
      <c r="V553" s="78"/>
    </row>
    <row r="554" spans="22:22" x14ac:dyDescent="0.3">
      <c r="V554" s="78"/>
    </row>
    <row r="555" spans="22:22" x14ac:dyDescent="0.3">
      <c r="V555" s="78"/>
    </row>
    <row r="556" spans="22:22" x14ac:dyDescent="0.3">
      <c r="V556" s="78"/>
    </row>
    <row r="557" spans="22:22" x14ac:dyDescent="0.3">
      <c r="V557" s="78"/>
    </row>
    <row r="558" spans="22:22" x14ac:dyDescent="0.3">
      <c r="V558" s="78"/>
    </row>
    <row r="559" spans="22:22" x14ac:dyDescent="0.3">
      <c r="V559" s="78"/>
    </row>
    <row r="560" spans="22:22" x14ac:dyDescent="0.3">
      <c r="V560" s="78"/>
    </row>
    <row r="561" spans="22:22" x14ac:dyDescent="0.3">
      <c r="V561" s="78"/>
    </row>
    <row r="562" spans="22:22" x14ac:dyDescent="0.3">
      <c r="V562" s="78"/>
    </row>
    <row r="563" spans="22:22" x14ac:dyDescent="0.3">
      <c r="V563" s="78"/>
    </row>
    <row r="564" spans="22:22" x14ac:dyDescent="0.3">
      <c r="V564" s="78"/>
    </row>
    <row r="565" spans="22:22" x14ac:dyDescent="0.3">
      <c r="V565" s="78"/>
    </row>
    <row r="566" spans="22:22" x14ac:dyDescent="0.3">
      <c r="V566" s="78"/>
    </row>
    <row r="567" spans="22:22" x14ac:dyDescent="0.3">
      <c r="V567" s="78"/>
    </row>
    <row r="568" spans="22:22" x14ac:dyDescent="0.3">
      <c r="V568" s="78"/>
    </row>
    <row r="569" spans="22:22" x14ac:dyDescent="0.3">
      <c r="V569" s="78"/>
    </row>
    <row r="570" spans="22:22" x14ac:dyDescent="0.3">
      <c r="V570" s="78"/>
    </row>
    <row r="571" spans="22:22" x14ac:dyDescent="0.3">
      <c r="V571" s="78"/>
    </row>
    <row r="572" spans="22:22" x14ac:dyDescent="0.3">
      <c r="V572" s="78"/>
    </row>
    <row r="573" spans="22:22" x14ac:dyDescent="0.3">
      <c r="V573" s="78"/>
    </row>
    <row r="574" spans="22:22" x14ac:dyDescent="0.3">
      <c r="V574" s="78"/>
    </row>
    <row r="575" spans="22:22" x14ac:dyDescent="0.3">
      <c r="V575" s="78"/>
    </row>
    <row r="576" spans="22:22" x14ac:dyDescent="0.3">
      <c r="V576" s="78"/>
    </row>
    <row r="577" spans="22:22" x14ac:dyDescent="0.3">
      <c r="V577" s="78"/>
    </row>
    <row r="578" spans="22:22" x14ac:dyDescent="0.3">
      <c r="V578" s="78"/>
    </row>
    <row r="579" spans="22:22" x14ac:dyDescent="0.3">
      <c r="V579" s="78"/>
    </row>
    <row r="580" spans="22:22" x14ac:dyDescent="0.3">
      <c r="V580" s="78"/>
    </row>
    <row r="581" spans="22:22" x14ac:dyDescent="0.3">
      <c r="V581" s="78"/>
    </row>
    <row r="582" spans="22:22" x14ac:dyDescent="0.3">
      <c r="V582" s="78"/>
    </row>
    <row r="583" spans="22:22" x14ac:dyDescent="0.3">
      <c r="V583" s="78"/>
    </row>
    <row r="584" spans="22:22" x14ac:dyDescent="0.3">
      <c r="V584" s="78"/>
    </row>
    <row r="585" spans="22:22" x14ac:dyDescent="0.3">
      <c r="V585" s="78"/>
    </row>
    <row r="586" spans="22:22" x14ac:dyDescent="0.3">
      <c r="V586" s="78"/>
    </row>
    <row r="587" spans="22:22" x14ac:dyDescent="0.3">
      <c r="V587" s="78"/>
    </row>
    <row r="588" spans="22:22" x14ac:dyDescent="0.3">
      <c r="V588" s="78"/>
    </row>
    <row r="589" spans="22:22" x14ac:dyDescent="0.3">
      <c r="V589" s="78"/>
    </row>
    <row r="590" spans="22:22" x14ac:dyDescent="0.3">
      <c r="V590" s="78"/>
    </row>
    <row r="591" spans="22:22" x14ac:dyDescent="0.3">
      <c r="V591" s="78"/>
    </row>
    <row r="592" spans="22:22" x14ac:dyDescent="0.3">
      <c r="V592" s="78"/>
    </row>
    <row r="593" spans="22:22" x14ac:dyDescent="0.3">
      <c r="V593" s="78"/>
    </row>
    <row r="594" spans="22:22" x14ac:dyDescent="0.3">
      <c r="V594" s="78"/>
    </row>
    <row r="595" spans="22:22" x14ac:dyDescent="0.3">
      <c r="V595" s="78"/>
    </row>
    <row r="596" spans="22:22" x14ac:dyDescent="0.3">
      <c r="V596" s="78"/>
    </row>
    <row r="597" spans="22:22" x14ac:dyDescent="0.3">
      <c r="V597" s="78"/>
    </row>
    <row r="598" spans="22:22" x14ac:dyDescent="0.3">
      <c r="V598" s="78"/>
    </row>
    <row r="599" spans="22:22" x14ac:dyDescent="0.3">
      <c r="V599" s="78"/>
    </row>
    <row r="600" spans="22:22" x14ac:dyDescent="0.3">
      <c r="V600" s="78"/>
    </row>
    <row r="601" spans="22:22" x14ac:dyDescent="0.3">
      <c r="V601" s="78"/>
    </row>
    <row r="602" spans="22:22" x14ac:dyDescent="0.3">
      <c r="V602" s="78"/>
    </row>
    <row r="603" spans="22:22" x14ac:dyDescent="0.3">
      <c r="V603" s="78"/>
    </row>
    <row r="604" spans="22:22" x14ac:dyDescent="0.3">
      <c r="V604" s="78"/>
    </row>
    <row r="605" spans="22:22" x14ac:dyDescent="0.3">
      <c r="V605" s="78"/>
    </row>
    <row r="606" spans="22:22" x14ac:dyDescent="0.3">
      <c r="V606" s="78"/>
    </row>
    <row r="607" spans="22:22" x14ac:dyDescent="0.3">
      <c r="V607" s="78"/>
    </row>
    <row r="608" spans="22:22" x14ac:dyDescent="0.3">
      <c r="V608" s="78"/>
    </row>
    <row r="609" spans="22:22" x14ac:dyDescent="0.3">
      <c r="V609" s="78"/>
    </row>
    <row r="610" spans="22:22" x14ac:dyDescent="0.3">
      <c r="V610" s="78"/>
    </row>
    <row r="611" spans="22:22" x14ac:dyDescent="0.3">
      <c r="V611" s="78"/>
    </row>
    <row r="612" spans="22:22" x14ac:dyDescent="0.3">
      <c r="V612" s="78"/>
    </row>
    <row r="613" spans="22:22" x14ac:dyDescent="0.3">
      <c r="V613" s="78"/>
    </row>
    <row r="614" spans="22:22" x14ac:dyDescent="0.3">
      <c r="V614" s="78"/>
    </row>
    <row r="615" spans="22:22" x14ac:dyDescent="0.3">
      <c r="V615" s="78"/>
    </row>
    <row r="616" spans="22:22" x14ac:dyDescent="0.3">
      <c r="V616" s="78"/>
    </row>
    <row r="617" spans="22:22" x14ac:dyDescent="0.3">
      <c r="V617" s="78"/>
    </row>
    <row r="618" spans="22:22" x14ac:dyDescent="0.3">
      <c r="V618" s="78"/>
    </row>
    <row r="619" spans="22:22" x14ac:dyDescent="0.3">
      <c r="V619" s="78"/>
    </row>
    <row r="620" spans="22:22" x14ac:dyDescent="0.3">
      <c r="V620" s="78"/>
    </row>
    <row r="621" spans="22:22" x14ac:dyDescent="0.3">
      <c r="V621" s="78"/>
    </row>
    <row r="622" spans="22:22" x14ac:dyDescent="0.3">
      <c r="V622" s="78"/>
    </row>
    <row r="623" spans="22:22" x14ac:dyDescent="0.3">
      <c r="V623" s="78"/>
    </row>
    <row r="624" spans="22:22" x14ac:dyDescent="0.3">
      <c r="V624" s="78"/>
    </row>
    <row r="625" spans="22:22" x14ac:dyDescent="0.3">
      <c r="V625" s="78"/>
    </row>
    <row r="626" spans="22:22" x14ac:dyDescent="0.3">
      <c r="V626" s="78"/>
    </row>
    <row r="627" spans="22:22" x14ac:dyDescent="0.3">
      <c r="V627" s="78"/>
    </row>
    <row r="628" spans="22:22" x14ac:dyDescent="0.3">
      <c r="V628" s="78"/>
    </row>
    <row r="629" spans="22:22" x14ac:dyDescent="0.3">
      <c r="V629" s="78"/>
    </row>
    <row r="630" spans="22:22" x14ac:dyDescent="0.3">
      <c r="V630" s="78"/>
    </row>
    <row r="631" spans="22:22" x14ac:dyDescent="0.3">
      <c r="V631" s="78"/>
    </row>
    <row r="632" spans="22:22" x14ac:dyDescent="0.3">
      <c r="V632" s="78"/>
    </row>
    <row r="633" spans="22:22" x14ac:dyDescent="0.3">
      <c r="V633" s="78"/>
    </row>
    <row r="634" spans="22:22" x14ac:dyDescent="0.3">
      <c r="V634" s="78"/>
    </row>
    <row r="635" spans="22:22" x14ac:dyDescent="0.3">
      <c r="V635" s="78"/>
    </row>
    <row r="636" spans="22:22" x14ac:dyDescent="0.3">
      <c r="V636" s="78"/>
    </row>
    <row r="637" spans="22:22" x14ac:dyDescent="0.3">
      <c r="V637" s="78"/>
    </row>
    <row r="638" spans="22:22" x14ac:dyDescent="0.3">
      <c r="V638" s="78"/>
    </row>
    <row r="639" spans="22:22" x14ac:dyDescent="0.3">
      <c r="V639" s="78"/>
    </row>
    <row r="640" spans="22:22" x14ac:dyDescent="0.3">
      <c r="V640" s="78"/>
    </row>
    <row r="641" spans="22:22" x14ac:dyDescent="0.3">
      <c r="V641" s="78"/>
    </row>
    <row r="642" spans="22:22" x14ac:dyDescent="0.3">
      <c r="V642" s="78"/>
    </row>
    <row r="643" spans="22:22" x14ac:dyDescent="0.3">
      <c r="V643" s="78"/>
    </row>
    <row r="644" spans="22:22" x14ac:dyDescent="0.3">
      <c r="V644" s="78"/>
    </row>
    <row r="645" spans="22:22" x14ac:dyDescent="0.3">
      <c r="V645" s="78"/>
    </row>
    <row r="646" spans="22:22" x14ac:dyDescent="0.3">
      <c r="V646" s="78"/>
    </row>
    <row r="647" spans="22:22" x14ac:dyDescent="0.3">
      <c r="V647" s="78"/>
    </row>
    <row r="648" spans="22:22" x14ac:dyDescent="0.3">
      <c r="V648" s="78"/>
    </row>
    <row r="649" spans="22:22" x14ac:dyDescent="0.3">
      <c r="V649" s="78"/>
    </row>
    <row r="650" spans="22:22" x14ac:dyDescent="0.3">
      <c r="V650" s="78"/>
    </row>
    <row r="651" spans="22:22" x14ac:dyDescent="0.3">
      <c r="V651" s="78"/>
    </row>
    <row r="652" spans="22:22" x14ac:dyDescent="0.3">
      <c r="V652" s="78"/>
    </row>
    <row r="653" spans="22:22" x14ac:dyDescent="0.3">
      <c r="V653" s="78"/>
    </row>
    <row r="654" spans="22:22" x14ac:dyDescent="0.3">
      <c r="V654" s="78"/>
    </row>
    <row r="655" spans="22:22" x14ac:dyDescent="0.3">
      <c r="V655" s="78"/>
    </row>
    <row r="656" spans="22:22" x14ac:dyDescent="0.3">
      <c r="V656" s="78"/>
    </row>
    <row r="657" spans="22:22" x14ac:dyDescent="0.3">
      <c r="V657" s="78"/>
    </row>
    <row r="658" spans="22:22" x14ac:dyDescent="0.3">
      <c r="V658" s="78"/>
    </row>
    <row r="659" spans="22:22" x14ac:dyDescent="0.3">
      <c r="V659" s="78"/>
    </row>
    <row r="660" spans="22:22" x14ac:dyDescent="0.3">
      <c r="V660" s="78"/>
    </row>
    <row r="661" spans="22:22" x14ac:dyDescent="0.3">
      <c r="V661" s="78"/>
    </row>
    <row r="662" spans="22:22" x14ac:dyDescent="0.3">
      <c r="V662" s="78"/>
    </row>
    <row r="663" spans="22:22" x14ac:dyDescent="0.3">
      <c r="V663" s="78"/>
    </row>
    <row r="664" spans="22:22" x14ac:dyDescent="0.3">
      <c r="V664" s="78"/>
    </row>
    <row r="665" spans="22:22" x14ac:dyDescent="0.3">
      <c r="V665" s="78"/>
    </row>
    <row r="666" spans="22:22" x14ac:dyDescent="0.3">
      <c r="V666" s="78"/>
    </row>
    <row r="667" spans="22:22" x14ac:dyDescent="0.3">
      <c r="V667" s="78"/>
    </row>
    <row r="668" spans="22:22" x14ac:dyDescent="0.3">
      <c r="V668" s="78"/>
    </row>
    <row r="669" spans="22:22" x14ac:dyDescent="0.3">
      <c r="V669" s="78"/>
    </row>
    <row r="670" spans="22:22" x14ac:dyDescent="0.3">
      <c r="V670" s="78"/>
    </row>
    <row r="671" spans="22:22" x14ac:dyDescent="0.3">
      <c r="V671" s="78"/>
    </row>
    <row r="672" spans="22:22" x14ac:dyDescent="0.3">
      <c r="V672" s="78"/>
    </row>
    <row r="673" spans="22:22" x14ac:dyDescent="0.3">
      <c r="V673" s="78"/>
    </row>
    <row r="674" spans="22:22" x14ac:dyDescent="0.3">
      <c r="V674" s="78"/>
    </row>
    <row r="675" spans="22:22" x14ac:dyDescent="0.3">
      <c r="V675" s="78"/>
    </row>
    <row r="676" spans="22:22" x14ac:dyDescent="0.3">
      <c r="V676" s="78"/>
    </row>
    <row r="677" spans="22:22" x14ac:dyDescent="0.3">
      <c r="V677" s="78"/>
    </row>
    <row r="678" spans="22:22" x14ac:dyDescent="0.3">
      <c r="V678" s="78"/>
    </row>
    <row r="679" spans="22:22" x14ac:dyDescent="0.3">
      <c r="V679" s="78"/>
    </row>
    <row r="680" spans="22:22" x14ac:dyDescent="0.3">
      <c r="V680" s="78"/>
    </row>
    <row r="681" spans="22:22" x14ac:dyDescent="0.3">
      <c r="V681" s="78"/>
    </row>
    <row r="682" spans="22:22" x14ac:dyDescent="0.3">
      <c r="V682" s="78"/>
    </row>
    <row r="683" spans="22:22" x14ac:dyDescent="0.3">
      <c r="V683" s="78"/>
    </row>
    <row r="684" spans="22:22" x14ac:dyDescent="0.3">
      <c r="V684" s="78"/>
    </row>
    <row r="685" spans="22:22" x14ac:dyDescent="0.3">
      <c r="V685" s="78"/>
    </row>
    <row r="686" spans="22:22" x14ac:dyDescent="0.3">
      <c r="V686" s="78"/>
    </row>
    <row r="687" spans="22:22" x14ac:dyDescent="0.3">
      <c r="V687" s="78"/>
    </row>
    <row r="688" spans="22:22" x14ac:dyDescent="0.3">
      <c r="V688" s="78"/>
    </row>
    <row r="689" spans="22:22" x14ac:dyDescent="0.3">
      <c r="V689" s="78"/>
    </row>
    <row r="690" spans="22:22" x14ac:dyDescent="0.3">
      <c r="V690" s="78"/>
    </row>
    <row r="691" spans="22:22" x14ac:dyDescent="0.3">
      <c r="V691" s="78"/>
    </row>
    <row r="692" spans="22:22" x14ac:dyDescent="0.3">
      <c r="V692" s="78"/>
    </row>
    <row r="693" spans="22:22" x14ac:dyDescent="0.3">
      <c r="V693" s="78"/>
    </row>
    <row r="694" spans="22:22" x14ac:dyDescent="0.3">
      <c r="V694" s="78"/>
    </row>
    <row r="695" spans="22:22" x14ac:dyDescent="0.3">
      <c r="V695" s="78"/>
    </row>
    <row r="696" spans="22:22" x14ac:dyDescent="0.3">
      <c r="V696" s="78"/>
    </row>
    <row r="697" spans="22:22" x14ac:dyDescent="0.3">
      <c r="V697" s="78"/>
    </row>
    <row r="698" spans="22:22" x14ac:dyDescent="0.3">
      <c r="V698" s="78"/>
    </row>
    <row r="699" spans="22:22" x14ac:dyDescent="0.3">
      <c r="V699" s="78"/>
    </row>
    <row r="700" spans="22:22" x14ac:dyDescent="0.3">
      <c r="V700" s="78"/>
    </row>
    <row r="701" spans="22:22" x14ac:dyDescent="0.3">
      <c r="V701" s="78"/>
    </row>
    <row r="702" spans="22:22" x14ac:dyDescent="0.3">
      <c r="V702" s="78"/>
    </row>
    <row r="703" spans="22:22" x14ac:dyDescent="0.3">
      <c r="V703" s="78"/>
    </row>
    <row r="704" spans="22:22" x14ac:dyDescent="0.3">
      <c r="V704" s="78"/>
    </row>
    <row r="705" spans="22:22" x14ac:dyDescent="0.3">
      <c r="V705" s="78"/>
    </row>
    <row r="706" spans="22:22" x14ac:dyDescent="0.3">
      <c r="V706" s="78"/>
    </row>
    <row r="707" spans="22:22" x14ac:dyDescent="0.3">
      <c r="V707" s="78"/>
    </row>
    <row r="708" spans="22:22" x14ac:dyDescent="0.3">
      <c r="V708" s="78"/>
    </row>
    <row r="709" spans="22:22" x14ac:dyDescent="0.3">
      <c r="V709" s="78"/>
    </row>
    <row r="710" spans="22:22" x14ac:dyDescent="0.3">
      <c r="V710" s="78"/>
    </row>
    <row r="711" spans="22:22" x14ac:dyDescent="0.3">
      <c r="V711" s="78"/>
    </row>
    <row r="712" spans="22:22" x14ac:dyDescent="0.3">
      <c r="V712" s="78"/>
    </row>
    <row r="713" spans="22:22" x14ac:dyDescent="0.3">
      <c r="V713" s="78"/>
    </row>
    <row r="714" spans="22:22" x14ac:dyDescent="0.3">
      <c r="V714" s="78"/>
    </row>
    <row r="715" spans="22:22" x14ac:dyDescent="0.3">
      <c r="V715" s="78"/>
    </row>
    <row r="716" spans="22:22" x14ac:dyDescent="0.3">
      <c r="V716" s="78"/>
    </row>
    <row r="717" spans="22:22" x14ac:dyDescent="0.3">
      <c r="V717" s="78"/>
    </row>
    <row r="718" spans="22:22" x14ac:dyDescent="0.3">
      <c r="V718" s="78"/>
    </row>
    <row r="719" spans="22:22" x14ac:dyDescent="0.3">
      <c r="V719" s="78"/>
    </row>
    <row r="720" spans="22:22" x14ac:dyDescent="0.3">
      <c r="V720" s="78"/>
    </row>
    <row r="721" spans="22:22" x14ac:dyDescent="0.3">
      <c r="V721" s="78"/>
    </row>
    <row r="722" spans="22:22" x14ac:dyDescent="0.3">
      <c r="V722" s="78"/>
    </row>
    <row r="723" spans="22:22" x14ac:dyDescent="0.3">
      <c r="V723" s="78"/>
    </row>
    <row r="724" spans="22:22" x14ac:dyDescent="0.3">
      <c r="V724" s="78"/>
    </row>
    <row r="725" spans="22:22" x14ac:dyDescent="0.3">
      <c r="V725" s="78"/>
    </row>
    <row r="726" spans="22:22" x14ac:dyDescent="0.3">
      <c r="V726" s="78"/>
    </row>
    <row r="727" spans="22:22" x14ac:dyDescent="0.3">
      <c r="V727" s="78"/>
    </row>
    <row r="728" spans="22:22" x14ac:dyDescent="0.3">
      <c r="V728" s="78"/>
    </row>
    <row r="729" spans="22:22" x14ac:dyDescent="0.3">
      <c r="V729" s="78"/>
    </row>
    <row r="730" spans="22:22" x14ac:dyDescent="0.3">
      <c r="V730" s="78"/>
    </row>
    <row r="731" spans="22:22" x14ac:dyDescent="0.3">
      <c r="V731" s="78"/>
    </row>
    <row r="732" spans="22:22" x14ac:dyDescent="0.3">
      <c r="V732" s="78"/>
    </row>
    <row r="733" spans="22:22" x14ac:dyDescent="0.3">
      <c r="V733" s="78"/>
    </row>
    <row r="734" spans="22:22" x14ac:dyDescent="0.3">
      <c r="V734" s="78"/>
    </row>
    <row r="735" spans="22:22" x14ac:dyDescent="0.3">
      <c r="V735" s="78"/>
    </row>
    <row r="736" spans="22:22" x14ac:dyDescent="0.3">
      <c r="V736" s="78"/>
    </row>
    <row r="737" spans="22:22" x14ac:dyDescent="0.3">
      <c r="V737" s="78"/>
    </row>
    <row r="738" spans="22:22" x14ac:dyDescent="0.3">
      <c r="V738" s="78"/>
    </row>
    <row r="739" spans="22:22" x14ac:dyDescent="0.3">
      <c r="V739" s="78"/>
    </row>
    <row r="740" spans="22:22" x14ac:dyDescent="0.3">
      <c r="V740" s="78"/>
    </row>
    <row r="741" spans="22:22" x14ac:dyDescent="0.3">
      <c r="V741" s="78"/>
    </row>
    <row r="742" spans="22:22" x14ac:dyDescent="0.3">
      <c r="V742" s="78"/>
    </row>
    <row r="743" spans="22:22" x14ac:dyDescent="0.3">
      <c r="V743" s="78"/>
    </row>
    <row r="744" spans="22:22" x14ac:dyDescent="0.3">
      <c r="V744" s="78"/>
    </row>
    <row r="745" spans="22:22" x14ac:dyDescent="0.3">
      <c r="V745" s="78"/>
    </row>
    <row r="746" spans="22:22" x14ac:dyDescent="0.3">
      <c r="V746" s="78"/>
    </row>
    <row r="747" spans="22:22" x14ac:dyDescent="0.3">
      <c r="V747" s="78"/>
    </row>
    <row r="748" spans="22:22" x14ac:dyDescent="0.3">
      <c r="V748" s="78"/>
    </row>
    <row r="749" spans="22:22" x14ac:dyDescent="0.3">
      <c r="V749" s="78"/>
    </row>
    <row r="750" spans="22:22" x14ac:dyDescent="0.3">
      <c r="V750" s="78"/>
    </row>
    <row r="751" spans="22:22" x14ac:dyDescent="0.3">
      <c r="V751" s="78"/>
    </row>
    <row r="752" spans="22:22" x14ac:dyDescent="0.3">
      <c r="V752" s="78"/>
    </row>
    <row r="753" spans="22:22" x14ac:dyDescent="0.3">
      <c r="V753" s="78"/>
    </row>
    <row r="754" spans="22:22" x14ac:dyDescent="0.3">
      <c r="V754" s="78"/>
    </row>
    <row r="755" spans="22:22" x14ac:dyDescent="0.3">
      <c r="V755" s="78"/>
    </row>
    <row r="756" spans="22:22" x14ac:dyDescent="0.3">
      <c r="V756" s="78"/>
    </row>
    <row r="757" spans="22:22" x14ac:dyDescent="0.3">
      <c r="V757" s="78"/>
    </row>
    <row r="758" spans="22:22" x14ac:dyDescent="0.3">
      <c r="V758" s="78"/>
    </row>
  </sheetData>
  <pageMargins left="0.7" right="0.7" top="0.75" bottom="0.75" header="0.3" footer="0.3"/>
  <pageSetup orientation="portrait" r:id="rId1"/>
  <headerFooter>
    <oddFooter>&amp;L&amp;D&amp;T&amp;R&amp;P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workbookViewId="0">
      <selection activeCell="L6" sqref="L6"/>
    </sheetView>
  </sheetViews>
  <sheetFormatPr defaultRowHeight="14.4" x14ac:dyDescent="0.3"/>
  <cols>
    <col min="1" max="1" width="30.33203125" style="57" customWidth="1"/>
    <col min="2" max="10" width="13.6640625" hidden="1" customWidth="1"/>
    <col min="11" max="11" width="11.6640625" customWidth="1"/>
    <col min="12" max="12" width="7.33203125" style="339" bestFit="1" customWidth="1"/>
    <col min="13" max="14" width="14.44140625" customWidth="1"/>
  </cols>
  <sheetData>
    <row r="1" spans="1:15" x14ac:dyDescent="0.3">
      <c r="A1" s="296" t="s">
        <v>15</v>
      </c>
      <c r="B1" s="296"/>
      <c r="C1" s="296"/>
      <c r="D1" s="296"/>
      <c r="E1" s="296"/>
      <c r="F1" s="296"/>
      <c r="G1" s="296"/>
      <c r="H1" s="296"/>
      <c r="I1" s="296"/>
      <c r="J1" s="296"/>
      <c r="K1" s="296"/>
      <c r="L1" s="336"/>
      <c r="M1" s="248" t="s">
        <v>15</v>
      </c>
      <c r="N1" s="248" t="s">
        <v>15</v>
      </c>
    </row>
    <row r="2" spans="1:15" x14ac:dyDescent="0.3">
      <c r="A2" s="249"/>
      <c r="B2" s="249"/>
      <c r="C2" s="249"/>
      <c r="D2" s="249"/>
      <c r="E2" s="249"/>
      <c r="F2" s="249"/>
      <c r="G2" s="249"/>
      <c r="H2" s="249"/>
      <c r="I2" s="249"/>
      <c r="J2" s="249"/>
      <c r="K2" s="249"/>
      <c r="L2" s="296"/>
      <c r="M2" s="365" t="s">
        <v>15</v>
      </c>
      <c r="N2" s="365" t="s">
        <v>15</v>
      </c>
      <c r="O2" s="195"/>
    </row>
    <row r="3" spans="1:15" x14ac:dyDescent="0.3">
      <c r="A3" s="299" t="s">
        <v>495</v>
      </c>
      <c r="B3" s="297"/>
      <c r="C3" s="297"/>
      <c r="D3" s="297"/>
      <c r="E3" s="297"/>
      <c r="F3" s="297"/>
      <c r="G3" s="297"/>
      <c r="H3" s="297"/>
      <c r="I3" s="297"/>
      <c r="J3" s="297"/>
      <c r="K3" s="297"/>
      <c r="L3" s="337" t="s">
        <v>18</v>
      </c>
      <c r="M3" s="298">
        <v>7922</v>
      </c>
      <c r="N3" s="298">
        <v>7877</v>
      </c>
      <c r="O3" s="364"/>
    </row>
    <row r="4" spans="1:15" x14ac:dyDescent="0.3">
      <c r="A4" s="299"/>
      <c r="B4" s="297"/>
      <c r="C4" s="297"/>
      <c r="D4" s="297"/>
      <c r="E4" s="297"/>
      <c r="F4" s="297"/>
      <c r="G4" s="297"/>
      <c r="H4" s="297"/>
      <c r="I4" s="297"/>
      <c r="J4" s="297"/>
      <c r="K4" s="297"/>
      <c r="L4" s="337"/>
      <c r="M4" s="298" t="s">
        <v>15</v>
      </c>
      <c r="N4" s="298" t="s">
        <v>15</v>
      </c>
      <c r="O4" s="364"/>
    </row>
    <row r="5" spans="1:15" x14ac:dyDescent="0.3">
      <c r="A5" s="299" t="s">
        <v>498</v>
      </c>
      <c r="B5" s="299"/>
      <c r="C5" s="299"/>
      <c r="D5" s="299"/>
      <c r="E5" s="299"/>
      <c r="F5" s="299"/>
      <c r="G5" s="299"/>
      <c r="H5" s="299"/>
      <c r="I5" s="299"/>
      <c r="J5" s="299"/>
      <c r="K5" s="299" t="s">
        <v>15</v>
      </c>
      <c r="L5" s="338" t="s">
        <v>15</v>
      </c>
      <c r="M5" s="298">
        <f>'[2]BUDGET ENTRY'!D4</f>
        <v>496.68</v>
      </c>
      <c r="N5" s="298">
        <v>497</v>
      </c>
      <c r="O5" s="364"/>
    </row>
    <row r="6" spans="1:15" ht="27" customHeight="1" x14ac:dyDescent="0.3">
      <c r="A6" s="356" t="str">
        <f>ES!A6</f>
        <v>August 31, 2019</v>
      </c>
      <c r="B6" s="299" t="s">
        <v>549</v>
      </c>
      <c r="C6" s="299" t="s">
        <v>563</v>
      </c>
      <c r="D6" s="299" t="s">
        <v>550</v>
      </c>
      <c r="E6" s="299" t="s">
        <v>551</v>
      </c>
      <c r="F6" s="299" t="s">
        <v>553</v>
      </c>
      <c r="G6" s="299" t="s">
        <v>554</v>
      </c>
      <c r="H6" s="299" t="s">
        <v>555</v>
      </c>
      <c r="I6" s="299" t="s">
        <v>556</v>
      </c>
      <c r="J6" s="299" t="s">
        <v>557</v>
      </c>
      <c r="K6" s="299" t="s">
        <v>494</v>
      </c>
      <c r="L6" s="384">
        <f>ES!O6</f>
        <v>0.16666666666666666</v>
      </c>
      <c r="M6" s="382" t="s">
        <v>637</v>
      </c>
      <c r="N6" s="382" t="s">
        <v>631</v>
      </c>
    </row>
    <row r="7" spans="1:15" s="195" customFormat="1" ht="16.95" customHeight="1" x14ac:dyDescent="0.3">
      <c r="A7" s="363"/>
      <c r="B7" s="60"/>
      <c r="C7" s="60"/>
      <c r="D7" s="60"/>
      <c r="E7" s="60"/>
      <c r="F7" s="60"/>
      <c r="G7" s="60"/>
      <c r="H7" s="60"/>
      <c r="I7" s="60"/>
      <c r="J7" s="60"/>
      <c r="K7" s="51"/>
      <c r="L7" s="355"/>
      <c r="M7" s="383"/>
      <c r="N7" s="383"/>
    </row>
    <row r="8" spans="1:15" x14ac:dyDescent="0.3">
      <c r="A8" s="248" t="s">
        <v>493</v>
      </c>
      <c r="B8" s="335" t="e">
        <f>SUM(#REF!)</f>
        <v>#REF!</v>
      </c>
      <c r="C8" s="393" t="e">
        <f>SUM(#REF!)</f>
        <v>#REF!</v>
      </c>
      <c r="D8" s="393" t="e">
        <f>SUM(#REF!)</f>
        <v>#REF!</v>
      </c>
      <c r="E8" s="393" t="e">
        <f>SUM(#REF!)</f>
        <v>#REF!</v>
      </c>
      <c r="F8" s="393" t="e">
        <f>SUM(#REF!)</f>
        <v>#REF!</v>
      </c>
      <c r="G8" s="393" t="e">
        <f>SUM(#REF!)</f>
        <v>#REF!</v>
      </c>
      <c r="H8" s="393" t="e">
        <f>SUM(#REF!)</f>
        <v>#REF!</v>
      </c>
      <c r="I8" s="393" t="e">
        <f>SUM(#REF!)</f>
        <v>#REF!</v>
      </c>
      <c r="J8" s="393" t="e">
        <f>SUM(#REF!)</f>
        <v>#REF!</v>
      </c>
      <c r="K8" s="393">
        <f>ES!N22</f>
        <v>849908.45</v>
      </c>
      <c r="L8" s="339" t="e">
        <f>K8/M8</f>
        <v>#DIV/0!</v>
      </c>
      <c r="M8" s="248">
        <f>+'budget entry'!D28</f>
        <v>0</v>
      </c>
      <c r="N8" s="248">
        <v>4234839</v>
      </c>
    </row>
    <row r="9" spans="1:15" ht="7.2" customHeight="1" x14ac:dyDescent="0.3">
      <c r="M9" s="259"/>
      <c r="N9" s="259"/>
    </row>
    <row r="10" spans="1:15" ht="15" thickBot="1" x14ac:dyDescent="0.35">
      <c r="A10" s="260" t="s">
        <v>463</v>
      </c>
      <c r="M10" s="259"/>
      <c r="N10" s="259"/>
    </row>
    <row r="11" spans="1:15" s="195" customFormat="1" x14ac:dyDescent="0.3">
      <c r="A11" s="51" t="s">
        <v>135</v>
      </c>
      <c r="B11" s="51" t="e">
        <f>SUM(#REF!)</f>
        <v>#REF!</v>
      </c>
      <c r="C11" s="51" t="e">
        <f>SUM(#REF!)</f>
        <v>#REF!</v>
      </c>
      <c r="D11" s="51" t="e">
        <f>SUM(#REF!)</f>
        <v>#REF!</v>
      </c>
      <c r="E11" s="51" t="e">
        <f>SUM(#REF!)</f>
        <v>#REF!</v>
      </c>
      <c r="F11" s="51" t="e">
        <f>SUM(#REF!)</f>
        <v>#REF!</v>
      </c>
      <c r="G11" s="51" t="e">
        <f>SUM(#REF!)</f>
        <v>#REF!</v>
      </c>
      <c r="H11" s="51" t="e">
        <f>SUM(#REF!)</f>
        <v>#REF!</v>
      </c>
      <c r="I11" s="51" t="e">
        <f>SUM(#REF!)</f>
        <v>#REF!</v>
      </c>
      <c r="J11" s="51" t="e">
        <f>SUM(#REF!)</f>
        <v>#REF!</v>
      </c>
      <c r="K11" s="51">
        <f>ES!N38</f>
        <v>336716.55</v>
      </c>
      <c r="L11" s="340">
        <f>K11/M11</f>
        <v>0.12439347899346578</v>
      </c>
      <c r="M11" s="51">
        <f>+'budget entry'!D52</f>
        <v>2706866.5715000001</v>
      </c>
      <c r="N11" s="51">
        <v>2429935</v>
      </c>
    </row>
    <row r="12" spans="1:15" s="195" customFormat="1" ht="10.199999999999999" customHeight="1" x14ac:dyDescent="0.3">
      <c r="A12" s="51"/>
      <c r="B12" s="51"/>
      <c r="C12" s="51"/>
      <c r="D12" s="51"/>
      <c r="E12" s="51"/>
      <c r="F12" s="51"/>
      <c r="G12" s="51"/>
      <c r="H12" s="51"/>
      <c r="I12" s="51"/>
      <c r="J12" s="51"/>
      <c r="K12" s="51"/>
      <c r="L12" s="340"/>
      <c r="M12" s="51"/>
      <c r="N12" s="51"/>
    </row>
    <row r="13" spans="1:15" s="195" customFormat="1" x14ac:dyDescent="0.3">
      <c r="A13" s="51" t="s">
        <v>142</v>
      </c>
      <c r="B13" s="51" t="e">
        <f>SUM(#REF!)</f>
        <v>#REF!</v>
      </c>
      <c r="C13" s="51" t="e">
        <f>SUM(#REF!)</f>
        <v>#REF!</v>
      </c>
      <c r="D13" s="51" t="e">
        <f>SUM(#REF!)</f>
        <v>#REF!</v>
      </c>
      <c r="E13" s="51" t="e">
        <f>SUM(#REF!)</f>
        <v>#REF!</v>
      </c>
      <c r="F13" s="51" t="e">
        <f>SUM(#REF!)</f>
        <v>#REF!</v>
      </c>
      <c r="G13" s="51" t="e">
        <f>SUM(#REF!)</f>
        <v>#REF!</v>
      </c>
      <c r="H13" s="51" t="e">
        <f>SUM(#REF!)</f>
        <v>#REF!</v>
      </c>
      <c r="I13" s="51" t="e">
        <f>SUM(#REF!)</f>
        <v>#REF!</v>
      </c>
      <c r="J13" s="51" t="e">
        <f>SUM(#REF!)</f>
        <v>#REF!</v>
      </c>
      <c r="K13" s="51">
        <f>ES!N46</f>
        <v>25906.760000000002</v>
      </c>
      <c r="L13" s="340" t="e">
        <f>K13/M13</f>
        <v>#DIV/0!</v>
      </c>
      <c r="M13" s="51">
        <f>+'budget entry'!D68</f>
        <v>0</v>
      </c>
      <c r="N13" s="51">
        <v>183649</v>
      </c>
    </row>
    <row r="14" spans="1:15" s="195" customFormat="1" ht="5.4" customHeight="1" x14ac:dyDescent="0.3">
      <c r="A14" s="51"/>
      <c r="B14" s="51"/>
      <c r="C14" s="51"/>
      <c r="D14" s="51"/>
      <c r="E14" s="51"/>
      <c r="F14" s="51"/>
      <c r="G14" s="51"/>
      <c r="H14" s="51"/>
      <c r="I14" s="51"/>
      <c r="J14" s="51"/>
      <c r="K14" s="51"/>
      <c r="L14" s="340"/>
      <c r="M14" s="51"/>
      <c r="N14" s="51"/>
    </row>
    <row r="15" spans="1:15" s="195" customFormat="1" x14ac:dyDescent="0.3">
      <c r="A15" s="51" t="s">
        <v>143</v>
      </c>
      <c r="B15" s="51" t="e">
        <f>SUM(#REF!)</f>
        <v>#REF!</v>
      </c>
      <c r="C15" s="51" t="e">
        <f>SUM(#REF!)</f>
        <v>#REF!</v>
      </c>
      <c r="D15" s="51" t="e">
        <f>SUM(#REF!)</f>
        <v>#REF!</v>
      </c>
      <c r="E15" s="51" t="e">
        <f>SUM(#REF!)</f>
        <v>#REF!</v>
      </c>
      <c r="F15" s="51" t="e">
        <f>SUM(#REF!)</f>
        <v>#REF!</v>
      </c>
      <c r="G15" s="51" t="e">
        <f>SUM(#REF!)</f>
        <v>#REF!</v>
      </c>
      <c r="H15" s="51" t="e">
        <f>SUM(#REF!)</f>
        <v>#REF!</v>
      </c>
      <c r="I15" s="51" t="e">
        <f>SUM(#REF!)</f>
        <v>#REF!</v>
      </c>
      <c r="J15" s="51" t="e">
        <f>SUM(#REF!)</f>
        <v>#REF!</v>
      </c>
      <c r="K15" s="51">
        <f>ES!N54</f>
        <v>17256.189999999999</v>
      </c>
      <c r="L15" s="340" t="e">
        <f>K15/M15</f>
        <v>#DIV/0!</v>
      </c>
      <c r="M15" s="51">
        <f>+'budget entry'!D80</f>
        <v>0</v>
      </c>
      <c r="N15" s="51">
        <v>120147</v>
      </c>
    </row>
    <row r="16" spans="1:15" s="195" customFormat="1" ht="6" customHeight="1" x14ac:dyDescent="0.3">
      <c r="A16" s="51"/>
      <c r="B16" s="51"/>
      <c r="C16" s="51"/>
      <c r="D16" s="51"/>
      <c r="E16" s="51"/>
      <c r="F16" s="51"/>
      <c r="G16" s="51"/>
      <c r="H16" s="51"/>
      <c r="I16" s="51"/>
      <c r="J16" s="51"/>
      <c r="K16" s="51"/>
      <c r="L16" s="340"/>
      <c r="M16" s="51"/>
      <c r="N16" s="51"/>
    </row>
    <row r="17" spans="1:14" s="195" customFormat="1" x14ac:dyDescent="0.3">
      <c r="A17" s="51" t="s">
        <v>218</v>
      </c>
      <c r="B17" s="51" t="e">
        <f>SUM(#REF!)</f>
        <v>#REF!</v>
      </c>
      <c r="C17" s="51" t="e">
        <f>SUM(#REF!)</f>
        <v>#REF!</v>
      </c>
      <c r="D17" s="51" t="e">
        <f>SUM(#REF!)</f>
        <v>#REF!</v>
      </c>
      <c r="E17" s="51" t="e">
        <f>SUM(#REF!)</f>
        <v>#REF!</v>
      </c>
      <c r="F17" s="51" t="e">
        <f>SUM(#REF!)</f>
        <v>#REF!</v>
      </c>
      <c r="G17" s="51" t="e">
        <f>SUM(#REF!)</f>
        <v>#REF!</v>
      </c>
      <c r="H17" s="51" t="e">
        <f>SUM(#REF!)</f>
        <v>#REF!</v>
      </c>
      <c r="I17" s="51" t="e">
        <f>SUM(#REF!)</f>
        <v>#REF!</v>
      </c>
      <c r="J17" s="51" t="e">
        <f>SUM(#REF!)</f>
        <v>#REF!</v>
      </c>
      <c r="K17" s="51">
        <f>ES!N67</f>
        <v>30745.599999999995</v>
      </c>
      <c r="L17" s="340" t="e">
        <f>K17/M17</f>
        <v>#DIV/0!</v>
      </c>
      <c r="M17" s="51">
        <f>+'budget entry'!D95</f>
        <v>0</v>
      </c>
      <c r="N17" s="51">
        <v>263380</v>
      </c>
    </row>
    <row r="18" spans="1:14" s="195" customFormat="1" ht="4.95" customHeight="1" x14ac:dyDescent="0.3">
      <c r="A18" s="51"/>
      <c r="B18" s="51"/>
      <c r="C18" s="51"/>
      <c r="D18" s="51"/>
      <c r="E18" s="51"/>
      <c r="F18" s="51"/>
      <c r="G18" s="51"/>
      <c r="H18" s="51"/>
      <c r="I18" s="51"/>
      <c r="J18" s="51"/>
      <c r="K18" s="51"/>
      <c r="L18" s="340"/>
      <c r="M18" s="51"/>
      <c r="N18" s="51" t="s">
        <v>15</v>
      </c>
    </row>
    <row r="19" spans="1:14" s="195" customFormat="1" x14ac:dyDescent="0.3">
      <c r="A19" s="58" t="s">
        <v>20</v>
      </c>
      <c r="B19" s="51" t="e">
        <f>SUM(#REF!)</f>
        <v>#REF!</v>
      </c>
      <c r="C19" s="51" t="e">
        <f>SUM(#REF!)</f>
        <v>#REF!</v>
      </c>
      <c r="D19" s="51" t="e">
        <f>SUM(#REF!)</f>
        <v>#REF!</v>
      </c>
      <c r="E19" s="51" t="e">
        <f>SUM(#REF!)</f>
        <v>#REF!</v>
      </c>
      <c r="F19" s="51" t="e">
        <f>SUM(#REF!)</f>
        <v>#REF!</v>
      </c>
      <c r="G19" s="51" t="e">
        <f>SUM(#REF!)</f>
        <v>#REF!</v>
      </c>
      <c r="H19" s="51" t="e">
        <f>SUM(#REF!)</f>
        <v>#REF!</v>
      </c>
      <c r="I19" s="51" t="e">
        <f>SUM(#REF!)</f>
        <v>#REF!</v>
      </c>
      <c r="J19" s="51" t="e">
        <f>SUM(#REF!)</f>
        <v>#REF!</v>
      </c>
      <c r="K19" s="51">
        <f>ES!N75</f>
        <v>41624.75</v>
      </c>
      <c r="L19" s="340" t="e">
        <f>K19/M19</f>
        <v>#DIV/0!</v>
      </c>
      <c r="M19" s="51">
        <f>+'budget entry'!D107</f>
        <v>0</v>
      </c>
      <c r="N19" s="51">
        <v>286930</v>
      </c>
    </row>
    <row r="20" spans="1:14" s="195" customFormat="1" ht="6" customHeight="1" x14ac:dyDescent="0.3">
      <c r="A20" s="51"/>
      <c r="B20" s="51"/>
      <c r="C20" s="51"/>
      <c r="D20" s="51"/>
      <c r="E20" s="51"/>
      <c r="F20" s="51"/>
      <c r="G20" s="51"/>
      <c r="H20" s="51"/>
      <c r="I20" s="51"/>
      <c r="J20" s="51"/>
      <c r="K20" s="51"/>
      <c r="L20" s="340"/>
      <c r="M20" s="51"/>
      <c r="N20" s="51"/>
    </row>
    <row r="21" spans="1:14" s="195" customFormat="1" x14ac:dyDescent="0.3">
      <c r="A21" s="78" t="s">
        <v>540</v>
      </c>
      <c r="B21" s="78" t="e">
        <f>SUM(#REF!)</f>
        <v>#REF!</v>
      </c>
      <c r="C21" s="78" t="e">
        <f>SUM(#REF!)</f>
        <v>#REF!</v>
      </c>
      <c r="D21" s="78" t="e">
        <f>SUM(#REF!)</f>
        <v>#REF!</v>
      </c>
      <c r="E21" s="78" t="e">
        <f>SUM(#REF!)</f>
        <v>#REF!</v>
      </c>
      <c r="F21" s="78" t="e">
        <f>SUM(#REF!)</f>
        <v>#REF!</v>
      </c>
      <c r="G21" s="78" t="e">
        <f>SUM(#REF!)</f>
        <v>#REF!</v>
      </c>
      <c r="H21" s="78" t="e">
        <f>SUM(#REF!)</f>
        <v>#REF!</v>
      </c>
      <c r="I21" s="78" t="e">
        <f>SUM(#REF!)</f>
        <v>#REF!</v>
      </c>
      <c r="J21" s="78" t="e">
        <f>SUM(#REF!)</f>
        <v>#REF!</v>
      </c>
      <c r="K21" s="78">
        <f>ES!N88</f>
        <v>11829.96</v>
      </c>
      <c r="L21" s="340" t="e">
        <f>K21/M21</f>
        <v>#DIV/0!</v>
      </c>
      <c r="M21" s="78">
        <f>+'budget entry'!D122</f>
        <v>0</v>
      </c>
      <c r="N21" s="78">
        <v>85131</v>
      </c>
    </row>
    <row r="22" spans="1:14" s="195" customFormat="1" ht="6.6" customHeight="1" x14ac:dyDescent="0.3">
      <c r="A22" s="51"/>
      <c r="B22" s="370"/>
      <c r="C22" s="370"/>
      <c r="D22" s="370"/>
      <c r="E22" s="370"/>
      <c r="F22" s="370"/>
      <c r="G22" s="370"/>
      <c r="H22" s="370"/>
      <c r="I22" s="370"/>
      <c r="J22" s="370"/>
      <c r="K22" s="370"/>
      <c r="L22" s="340"/>
      <c r="M22" s="370"/>
      <c r="N22" s="370"/>
    </row>
    <row r="23" spans="1:14" s="195" customFormat="1" x14ac:dyDescent="0.3">
      <c r="A23" s="78" t="s">
        <v>541</v>
      </c>
      <c r="B23" s="78" t="e">
        <f>SUM(#REF!)</f>
        <v>#REF!</v>
      </c>
      <c r="C23" s="78" t="e">
        <f>SUM(#REF!)</f>
        <v>#REF!</v>
      </c>
      <c r="D23" s="78" t="e">
        <f>SUM(#REF!)</f>
        <v>#REF!</v>
      </c>
      <c r="E23" s="78" t="e">
        <f>SUM(#REF!)</f>
        <v>#REF!</v>
      </c>
      <c r="F23" s="78" t="e">
        <f>SUM(#REF!)</f>
        <v>#REF!</v>
      </c>
      <c r="G23" s="78" t="e">
        <f>SUM(#REF!)</f>
        <v>#REF!</v>
      </c>
      <c r="H23" s="78" t="e">
        <f>SUM(#REF!)</f>
        <v>#REF!</v>
      </c>
      <c r="I23" s="78" t="e">
        <f>SUM(#REF!)</f>
        <v>#REF!</v>
      </c>
      <c r="J23" s="78" t="e">
        <f>SUM(#REF!)</f>
        <v>#REF!</v>
      </c>
      <c r="K23" s="78">
        <f>ES!N101</f>
        <v>34431.410000000003</v>
      </c>
      <c r="L23" s="340">
        <f>K23/M23</f>
        <v>11.477136666666668</v>
      </c>
      <c r="M23" s="78">
        <f>+'budget entry'!D138</f>
        <v>3000</v>
      </c>
      <c r="N23" s="78">
        <v>291100</v>
      </c>
    </row>
    <row r="24" spans="1:14" s="195" customFormat="1" ht="8.4" customHeight="1" x14ac:dyDescent="0.3">
      <c r="A24" s="51"/>
      <c r="B24" s="51"/>
      <c r="C24" s="51"/>
      <c r="D24" s="51"/>
      <c r="E24" s="51"/>
      <c r="F24" s="51"/>
      <c r="G24" s="51"/>
      <c r="H24" s="51"/>
      <c r="I24" s="51"/>
      <c r="J24" s="51"/>
      <c r="K24" s="51"/>
      <c r="L24" s="340"/>
      <c r="M24" s="51"/>
      <c r="N24" s="51"/>
    </row>
    <row r="25" spans="1:14" s="195" customFormat="1" x14ac:dyDescent="0.3">
      <c r="A25" s="58" t="s">
        <v>236</v>
      </c>
      <c r="B25" s="76" t="e">
        <f>SUM(#REF!)</f>
        <v>#REF!</v>
      </c>
      <c r="C25" s="76" t="e">
        <f>SUM(#REF!)</f>
        <v>#REF!</v>
      </c>
      <c r="D25" s="76" t="e">
        <f>SUM(#REF!)</f>
        <v>#REF!</v>
      </c>
      <c r="E25" s="76" t="e">
        <f>SUM(#REF!)</f>
        <v>#REF!</v>
      </c>
      <c r="F25" s="76" t="e">
        <f>SUM(#REF!)</f>
        <v>#REF!</v>
      </c>
      <c r="G25" s="76" t="e">
        <f>SUM(#REF!)</f>
        <v>#REF!</v>
      </c>
      <c r="H25" s="76" t="e">
        <f>SUM(#REF!)</f>
        <v>#REF!</v>
      </c>
      <c r="I25" s="76" t="e">
        <f>SUM(#REF!)</f>
        <v>#REF!</v>
      </c>
      <c r="J25" s="76" t="e">
        <f>SUM(#REF!)</f>
        <v>#REF!</v>
      </c>
      <c r="K25" s="76">
        <f>ES!N108</f>
        <v>996.06</v>
      </c>
      <c r="L25" s="340">
        <f>K25/M25</f>
        <v>1.99212E-2</v>
      </c>
      <c r="M25" s="76">
        <f>+'budget entry'!D146</f>
        <v>50000</v>
      </c>
      <c r="N25" s="76">
        <v>23150</v>
      </c>
    </row>
    <row r="26" spans="1:14" s="195" customFormat="1" ht="7.5" customHeight="1" x14ac:dyDescent="0.3">
      <c r="A26" s="51"/>
      <c r="B26" s="58"/>
      <c r="C26" s="58"/>
      <c r="D26" s="58"/>
      <c r="E26" s="58"/>
      <c r="F26" s="58"/>
      <c r="G26" s="58"/>
      <c r="H26" s="58"/>
      <c r="I26" s="58"/>
      <c r="J26" s="58"/>
      <c r="K26" s="58"/>
      <c r="L26" s="340"/>
      <c r="M26" s="58"/>
      <c r="N26" s="58"/>
    </row>
    <row r="27" spans="1:14" s="195" customFormat="1" x14ac:dyDescent="0.3">
      <c r="A27" s="78" t="s">
        <v>575</v>
      </c>
      <c r="B27" s="79" t="e">
        <f>SUM(#REF!)</f>
        <v>#REF!</v>
      </c>
      <c r="C27" s="79" t="e">
        <f>SUM(#REF!)</f>
        <v>#REF!</v>
      </c>
      <c r="D27" s="79" t="e">
        <f>SUM(#REF!)</f>
        <v>#REF!</v>
      </c>
      <c r="E27" s="79" t="e">
        <f>SUM(#REF!)</f>
        <v>#REF!</v>
      </c>
      <c r="F27" s="79" t="e">
        <f>SUM(#REF!)</f>
        <v>#REF!</v>
      </c>
      <c r="G27" s="79" t="e">
        <f>SUM(#REF!)</f>
        <v>#REF!</v>
      </c>
      <c r="H27" s="79" t="e">
        <f>SUM(#REF!)</f>
        <v>#REF!</v>
      </c>
      <c r="I27" s="79" t="e">
        <f>SUM(#REF!)</f>
        <v>#REF!</v>
      </c>
      <c r="J27" s="79" t="e">
        <f>SUM(#REF!)</f>
        <v>#REF!</v>
      </c>
      <c r="K27" s="79">
        <f>ES!N118</f>
        <v>21250.769999999997</v>
      </c>
      <c r="L27" s="340">
        <f>K27/M27</f>
        <v>0.6813983390515278</v>
      </c>
      <c r="M27" s="79">
        <f>+'budget entry'!D156</f>
        <v>31187</v>
      </c>
      <c r="N27" s="79">
        <v>193336</v>
      </c>
    </row>
    <row r="28" spans="1:14" s="195" customFormat="1" ht="6.75" customHeight="1" x14ac:dyDescent="0.3">
      <c r="A28" s="51"/>
      <c r="B28" s="464"/>
      <c r="C28" s="464"/>
      <c r="D28" s="464"/>
      <c r="E28" s="464"/>
      <c r="F28" s="464"/>
      <c r="G28" s="464"/>
      <c r="H28" s="464"/>
      <c r="I28" s="464"/>
      <c r="J28" s="464"/>
      <c r="K28" s="464"/>
      <c r="L28" s="340"/>
      <c r="M28" s="464"/>
      <c r="N28" s="464"/>
    </row>
    <row r="29" spans="1:14" s="195" customFormat="1" x14ac:dyDescent="0.3">
      <c r="A29" s="51" t="s">
        <v>481</v>
      </c>
      <c r="B29" s="66">
        <v>96218</v>
      </c>
      <c r="C29" s="66">
        <v>32424.99</v>
      </c>
      <c r="D29" s="66">
        <v>31824.99</v>
      </c>
      <c r="E29" s="66">
        <v>31824.99</v>
      </c>
      <c r="F29" s="66"/>
      <c r="G29" s="66"/>
      <c r="H29" s="66"/>
      <c r="I29" s="66"/>
      <c r="J29" s="66"/>
      <c r="K29" s="465">
        <f>ES!N126</f>
        <v>63649.98</v>
      </c>
      <c r="L29" s="340">
        <f>K29/M29</f>
        <v>9.9921475667189963</v>
      </c>
      <c r="M29" s="76">
        <f>+'budget entry'!D158</f>
        <v>6370</v>
      </c>
      <c r="N29" s="76" t="e">
        <f>ES!#REF!</f>
        <v>#REF!</v>
      </c>
    </row>
    <row r="30" spans="1:14" ht="10.5" customHeight="1" x14ac:dyDescent="0.3">
      <c r="B30" s="466"/>
      <c r="C30" s="466"/>
      <c r="D30" s="466"/>
      <c r="E30" s="466"/>
      <c r="F30" s="466"/>
      <c r="G30" s="466"/>
      <c r="H30" s="466"/>
      <c r="I30" s="466"/>
      <c r="J30" s="466"/>
      <c r="K30" s="466"/>
      <c r="L30" s="340"/>
      <c r="M30" s="466"/>
      <c r="N30" s="466"/>
    </row>
    <row r="31" spans="1:14" x14ac:dyDescent="0.3">
      <c r="A31" s="57" t="s">
        <v>604</v>
      </c>
      <c r="B31" s="466"/>
      <c r="C31" s="466"/>
      <c r="D31" s="466"/>
      <c r="E31" s="466"/>
      <c r="F31" s="466"/>
      <c r="G31" s="466"/>
      <c r="H31" s="466"/>
      <c r="I31" s="466"/>
      <c r="J31" s="466"/>
      <c r="K31" s="372" t="e">
        <f>+ES!N129+ES!#REF!+ES!N130</f>
        <v>#REF!</v>
      </c>
      <c r="L31" s="340" t="e">
        <f>K31/M31</f>
        <v>#REF!</v>
      </c>
      <c r="M31" s="372">
        <f>+'budget entry'!D167</f>
        <v>0</v>
      </c>
      <c r="N31" s="372">
        <f>9000+117028+35000</f>
        <v>161028</v>
      </c>
    </row>
    <row r="32" spans="1:14" ht="8.25" customHeight="1" x14ac:dyDescent="0.3">
      <c r="B32" s="265"/>
      <c r="C32" s="265"/>
      <c r="D32" s="265"/>
      <c r="E32" s="265"/>
      <c r="F32" s="265"/>
      <c r="G32" s="265"/>
      <c r="H32" s="265"/>
      <c r="I32" s="265"/>
      <c r="J32" s="265"/>
      <c r="K32" s="265"/>
      <c r="M32" s="265"/>
      <c r="N32" s="265"/>
    </row>
    <row r="33" spans="1:14" x14ac:dyDescent="0.3">
      <c r="A33" s="248" t="s">
        <v>50</v>
      </c>
      <c r="B33" s="294" t="e">
        <f t="shared" ref="B33:J33" si="0">+B29+B27+B25+B23+B21+B19+B17+B15+B13+B11</f>
        <v>#REF!</v>
      </c>
      <c r="C33" s="294" t="e">
        <f t="shared" si="0"/>
        <v>#REF!</v>
      </c>
      <c r="D33" s="294" t="e">
        <f t="shared" si="0"/>
        <v>#REF!</v>
      </c>
      <c r="E33" s="294" t="e">
        <f t="shared" si="0"/>
        <v>#REF!</v>
      </c>
      <c r="F33" s="294" t="e">
        <f t="shared" si="0"/>
        <v>#REF!</v>
      </c>
      <c r="G33" s="294" t="e">
        <f t="shared" si="0"/>
        <v>#REF!</v>
      </c>
      <c r="H33" s="294" t="e">
        <f t="shared" si="0"/>
        <v>#REF!</v>
      </c>
      <c r="I33" s="294" t="e">
        <f t="shared" si="0"/>
        <v>#REF!</v>
      </c>
      <c r="J33" s="294" t="e">
        <f t="shared" si="0"/>
        <v>#REF!</v>
      </c>
      <c r="K33" s="294" t="e">
        <f>+K29+K27+K25+K23+K21+K19+K17+K15+K13+K11+K31</f>
        <v>#REF!</v>
      </c>
      <c r="L33" s="339" t="e">
        <f>K33/M33</f>
        <v>#REF!</v>
      </c>
      <c r="M33" s="294">
        <f>+M29+M27+M25+M23+M21+M19+M17+M15+M13+M11+M31</f>
        <v>2797423.5715000001</v>
      </c>
      <c r="N33" s="294" t="e">
        <f>+N29+N27+N25+N23+N21+N19+N17+N15+N13+N11+N31</f>
        <v>#REF!</v>
      </c>
    </row>
    <row r="34" spans="1:14" x14ac:dyDescent="0.3">
      <c r="B34" s="265"/>
      <c r="C34" s="265"/>
      <c r="D34" s="265"/>
      <c r="E34" s="265"/>
      <c r="F34" s="265"/>
      <c r="G34" s="265"/>
      <c r="H34" s="265"/>
      <c r="I34" s="265"/>
      <c r="J34" s="265"/>
      <c r="K34" s="265"/>
      <c r="M34" s="265"/>
      <c r="N34" s="265"/>
    </row>
    <row r="35" spans="1:14" x14ac:dyDescent="0.3">
      <c r="B35" s="265"/>
      <c r="C35" s="265"/>
      <c r="D35" s="265"/>
      <c r="E35" s="265"/>
      <c r="F35" s="265"/>
      <c r="G35" s="265"/>
      <c r="H35" s="265"/>
      <c r="I35" s="265"/>
      <c r="J35" s="265"/>
      <c r="K35" s="265"/>
      <c r="M35" s="265"/>
      <c r="N35" s="265"/>
    </row>
    <row r="36" spans="1:14" x14ac:dyDescent="0.3">
      <c r="B36" s="265"/>
      <c r="C36" s="265"/>
      <c r="D36" s="265"/>
      <c r="E36" s="265"/>
      <c r="F36" s="265"/>
      <c r="G36" s="265"/>
      <c r="H36" s="265"/>
      <c r="I36" s="265"/>
      <c r="J36" s="265"/>
      <c r="K36" s="265"/>
      <c r="M36" s="265"/>
      <c r="N36" s="265"/>
    </row>
    <row r="37" spans="1:14" ht="15" thickBot="1" x14ac:dyDescent="0.35">
      <c r="A37" s="248" t="s">
        <v>482</v>
      </c>
      <c r="B37" s="295" t="e">
        <f t="shared" ref="B37:K37" si="1">B8-B33</f>
        <v>#REF!</v>
      </c>
      <c r="C37" s="295" t="e">
        <f t="shared" si="1"/>
        <v>#REF!</v>
      </c>
      <c r="D37" s="295" t="e">
        <f t="shared" si="1"/>
        <v>#REF!</v>
      </c>
      <c r="E37" s="295" t="e">
        <f t="shared" si="1"/>
        <v>#REF!</v>
      </c>
      <c r="F37" s="295" t="e">
        <f t="shared" si="1"/>
        <v>#REF!</v>
      </c>
      <c r="G37" s="295" t="e">
        <f t="shared" si="1"/>
        <v>#REF!</v>
      </c>
      <c r="H37" s="295" t="e">
        <f t="shared" si="1"/>
        <v>#REF!</v>
      </c>
      <c r="I37" s="295" t="e">
        <f t="shared" si="1"/>
        <v>#REF!</v>
      </c>
      <c r="J37" s="295" t="e">
        <f t="shared" si="1"/>
        <v>#REF!</v>
      </c>
      <c r="K37" s="295" t="e">
        <f t="shared" si="1"/>
        <v>#REF!</v>
      </c>
      <c r="M37" s="295">
        <f>+M8-M33</f>
        <v>-2797423.5715000001</v>
      </c>
      <c r="N37" s="295" t="e">
        <f>N8-N33</f>
        <v>#REF!</v>
      </c>
    </row>
    <row r="38" spans="1:14" ht="15" thickTop="1" x14ac:dyDescent="0.3">
      <c r="B38" s="265"/>
      <c r="C38" s="265"/>
      <c r="D38" s="265"/>
      <c r="E38" s="265"/>
      <c r="F38" s="265"/>
      <c r="G38" s="265"/>
      <c r="H38" s="265"/>
      <c r="I38" s="265"/>
      <c r="J38" s="265"/>
      <c r="K38" s="265"/>
      <c r="M38" s="265"/>
      <c r="N38" s="265"/>
    </row>
    <row r="39" spans="1:14" x14ac:dyDescent="0.3">
      <c r="A39" s="62" t="s">
        <v>483</v>
      </c>
      <c r="M39" s="257">
        <v>2457079</v>
      </c>
      <c r="N39" s="257">
        <v>2457079</v>
      </c>
    </row>
    <row r="40" spans="1:14" ht="15" thickBot="1" x14ac:dyDescent="0.35">
      <c r="A40" s="62" t="s">
        <v>588</v>
      </c>
      <c r="M40" s="266">
        <f>+M39+M37</f>
        <v>-340344.57150000008</v>
      </c>
      <c r="N40" s="266" t="e">
        <f>+N39+N37</f>
        <v>#REF!</v>
      </c>
    </row>
    <row r="41" spans="1:14" ht="15" thickTop="1" x14ac:dyDescent="0.3">
      <c r="M41" s="57"/>
      <c r="N41" s="57"/>
    </row>
    <row r="42" spans="1:14" x14ac:dyDescent="0.3">
      <c r="A42" s="62"/>
      <c r="M42" s="57"/>
      <c r="N42" s="57"/>
    </row>
    <row r="43" spans="1:14" x14ac:dyDescent="0.3">
      <c r="M43" s="57"/>
      <c r="N43" s="57"/>
    </row>
    <row r="44" spans="1:14" x14ac:dyDescent="0.3">
      <c r="A44" s="51"/>
      <c r="M44" s="51"/>
      <c r="N44" s="51"/>
    </row>
    <row r="45" spans="1:14" hidden="1" x14ac:dyDescent="0.3">
      <c r="M45" s="57"/>
      <c r="N45" s="57"/>
    </row>
    <row r="46" spans="1:14" x14ac:dyDescent="0.3">
      <c r="M46" s="268"/>
      <c r="N46" s="268"/>
    </row>
    <row r="47" spans="1:14" x14ac:dyDescent="0.3">
      <c r="M47" s="268"/>
      <c r="N47" s="268"/>
    </row>
    <row r="48" spans="1:14" x14ac:dyDescent="0.3">
      <c r="M48" s="57"/>
      <c r="N48" s="57"/>
    </row>
    <row r="49" spans="13:14" x14ac:dyDescent="0.3">
      <c r="M49" s="268"/>
      <c r="N49" s="268"/>
    </row>
    <row r="50" spans="13:14" x14ac:dyDescent="0.3">
      <c r="M50" s="268"/>
      <c r="N50" s="268"/>
    </row>
    <row r="51" spans="13:14" x14ac:dyDescent="0.3">
      <c r="M51" s="57"/>
      <c r="N51" s="57"/>
    </row>
    <row r="52" spans="13:14" x14ac:dyDescent="0.3">
      <c r="M52" s="57"/>
      <c r="N52" s="57"/>
    </row>
    <row r="53" spans="13:14" x14ac:dyDescent="0.3">
      <c r="M53" s="57"/>
      <c r="N53" s="57"/>
    </row>
    <row r="54" spans="13:14" x14ac:dyDescent="0.3">
      <c r="M54" s="262"/>
      <c r="N54" s="262"/>
    </row>
    <row r="55" spans="13:14" x14ac:dyDescent="0.3">
      <c r="M55" s="262"/>
      <c r="N55" s="26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46</vt:i4>
      </vt:variant>
    </vt:vector>
  </HeadingPairs>
  <TitlesOfParts>
    <vt:vector size="75" baseType="lpstr">
      <vt:lpstr>Bal Sheet</vt:lpstr>
      <vt:lpstr>ES</vt:lpstr>
      <vt:lpstr>MS</vt:lpstr>
      <vt:lpstr>JICA</vt:lpstr>
      <vt:lpstr>HS</vt:lpstr>
      <vt:lpstr>PTEC</vt:lpstr>
      <vt:lpstr>budget entry</vt:lpstr>
      <vt:lpstr>Bond Fund</vt:lpstr>
      <vt:lpstr>ES Board</vt:lpstr>
      <vt:lpstr>JICA Board</vt:lpstr>
      <vt:lpstr>MS Board</vt:lpstr>
      <vt:lpstr>HS Board</vt:lpstr>
      <vt:lpstr>PTEC Board</vt:lpstr>
      <vt:lpstr>PTEC (2)</vt:lpstr>
      <vt:lpstr>JICA detail</vt:lpstr>
      <vt:lpstr>ES detail</vt:lpstr>
      <vt:lpstr>MS detail</vt:lpstr>
      <vt:lpstr>HS detail</vt:lpstr>
      <vt:lpstr>PTEC detail</vt:lpstr>
      <vt:lpstr>CMO summary</vt:lpstr>
      <vt:lpstr>JICA summary</vt:lpstr>
      <vt:lpstr>ES summary</vt:lpstr>
      <vt:lpstr>MS summary</vt:lpstr>
      <vt:lpstr>HS summary</vt:lpstr>
      <vt:lpstr>PTEC summary</vt:lpstr>
      <vt:lpstr>17-18 wo cmo</vt:lpstr>
      <vt:lpstr>17-18 w cmo</vt:lpstr>
      <vt:lpstr>ytd reconciliation</vt:lpstr>
      <vt:lpstr>Compatibility Report</vt:lpstr>
      <vt:lpstr>'17-18 w cmo'!Print_Area</vt:lpstr>
      <vt:lpstr>'17-18 wo cmo'!Print_Area</vt:lpstr>
      <vt:lpstr>'Bal Sheet'!Print_Area</vt:lpstr>
      <vt:lpstr>'Bond Fund'!Print_Area</vt:lpstr>
      <vt:lpstr>'budget entry'!Print_Area</vt:lpstr>
      <vt:lpstr>'CMO summary'!Print_Area</vt:lpstr>
      <vt:lpstr>ES!Print_Area</vt:lpstr>
      <vt:lpstr>'ES detail'!Print_Area</vt:lpstr>
      <vt:lpstr>'ES summary'!Print_Area</vt:lpstr>
      <vt:lpstr>HS!Print_Area</vt:lpstr>
      <vt:lpstr>'HS detail'!Print_Area</vt:lpstr>
      <vt:lpstr>'HS summary'!Print_Area</vt:lpstr>
      <vt:lpstr>JICA!Print_Area</vt:lpstr>
      <vt:lpstr>'JICA detail'!Print_Area</vt:lpstr>
      <vt:lpstr>'JICA summary'!Print_Area</vt:lpstr>
      <vt:lpstr>MS!Print_Area</vt:lpstr>
      <vt:lpstr>'MS Board'!Print_Area</vt:lpstr>
      <vt:lpstr>'MS detail'!Print_Area</vt:lpstr>
      <vt:lpstr>'MS summary'!Print_Area</vt:lpstr>
      <vt:lpstr>PTEC!Print_Area</vt:lpstr>
      <vt:lpstr>'PTEC (2)'!Print_Area</vt:lpstr>
      <vt:lpstr>'PTEC detail'!Print_Area</vt:lpstr>
      <vt:lpstr>'PTEC summary'!Print_Area</vt:lpstr>
      <vt:lpstr>'ytd reconciliation'!Print_Area</vt:lpstr>
      <vt:lpstr>'17-18 w cmo'!Print_Titles</vt:lpstr>
      <vt:lpstr>'17-18 wo cmo'!Print_Titles</vt:lpstr>
      <vt:lpstr>'Bond Fund'!Print_Titles</vt:lpstr>
      <vt:lpstr>'budget entry'!Print_Titles</vt:lpstr>
      <vt:lpstr>'CMO summary'!Print_Titles</vt:lpstr>
      <vt:lpstr>ES!Print_Titles</vt:lpstr>
      <vt:lpstr>'ES detail'!Print_Titles</vt:lpstr>
      <vt:lpstr>'ES summary'!Print_Titles</vt:lpstr>
      <vt:lpstr>HS!Print_Titles</vt:lpstr>
      <vt:lpstr>'HS detail'!Print_Titles</vt:lpstr>
      <vt:lpstr>'HS summary'!Print_Titles</vt:lpstr>
      <vt:lpstr>JICA!Print_Titles</vt:lpstr>
      <vt:lpstr>'JICA detail'!Print_Titles</vt:lpstr>
      <vt:lpstr>'JICA summary'!Print_Titles</vt:lpstr>
      <vt:lpstr>MS!Print_Titles</vt:lpstr>
      <vt:lpstr>'MS detail'!Print_Titles</vt:lpstr>
      <vt:lpstr>'MS summary'!Print_Titles</vt:lpstr>
      <vt:lpstr>PTEC!Print_Titles</vt:lpstr>
      <vt:lpstr>'PTEC (2)'!Print_Titles</vt:lpstr>
      <vt:lpstr>'PTEC detail'!Print_Titles</vt:lpstr>
      <vt:lpstr>'PTEC summary'!Print_Titles</vt:lpstr>
      <vt:lpstr>'ytd reconciliation'!Print_Titles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Janice Cook</cp:lastModifiedBy>
  <cp:lastPrinted>2019-09-24T16:32:35Z</cp:lastPrinted>
  <dcterms:created xsi:type="dcterms:W3CDTF">2005-12-07T17:08:46Z</dcterms:created>
  <dcterms:modified xsi:type="dcterms:W3CDTF">2019-09-24T19:56:19Z</dcterms:modified>
</cp:coreProperties>
</file>